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eroh\Downloads\"/>
    </mc:Choice>
  </mc:AlternateContent>
  <xr:revisionPtr revIDLastSave="0" documentId="8_{D85E24D7-14C1-4E69-9EE9-185D2E27C48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lmanvaihtolaskelma" sheetId="1" r:id="rId1"/>
    <sheet name="Venttiilit" sheetId="2" r:id="rId2"/>
    <sheet name="Kaavat" sheetId="3" r:id="rId3"/>
    <sheet name="Laskut" sheetId="4" r:id="rId4"/>
  </sheets>
  <definedNames>
    <definedName name="päätelaitteet.">Kaavat!$B$3:$B$12</definedName>
    <definedName name="_xlnm.Print_Area" localSheetId="0">Ilmanvaihtolaskelma!$A$2:$R$35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1" i="4" l="1"/>
  <c r="H21" i="1" s="1"/>
  <c r="K21" i="1" s="1"/>
  <c r="J22" i="4"/>
  <c r="H22" i="1" s="1"/>
  <c r="K22" i="1" s="1"/>
  <c r="J23" i="4"/>
  <c r="H23" i="1" s="1"/>
  <c r="K23" i="1" s="1"/>
  <c r="J24" i="4"/>
  <c r="H24" i="1" s="1"/>
  <c r="K24" i="1" s="1"/>
  <c r="J25" i="4"/>
  <c r="H25" i="1" s="1"/>
  <c r="K25" i="1" s="1"/>
  <c r="L21" i="1"/>
  <c r="M21" i="1" s="1"/>
  <c r="L22" i="1"/>
  <c r="M22" i="1" s="1"/>
  <c r="L23" i="1"/>
  <c r="M23" i="1" s="1"/>
  <c r="L24" i="1"/>
  <c r="M24" i="1" s="1"/>
  <c r="L25" i="1"/>
  <c r="M25" i="1" s="1"/>
  <c r="L26" i="1"/>
  <c r="K39" i="4"/>
  <c r="M35" i="4"/>
  <c r="N35" i="4"/>
  <c r="O35" i="4"/>
  <c r="P35" i="4"/>
  <c r="Q35" i="4"/>
  <c r="R35" i="4"/>
  <c r="L35" i="4"/>
  <c r="T31" i="4"/>
  <c r="S31" i="4"/>
  <c r="R31" i="4"/>
  <c r="Q31" i="4"/>
  <c r="P31" i="4"/>
  <c r="O31" i="4"/>
  <c r="N31" i="4"/>
  <c r="M31" i="4"/>
  <c r="L31" i="4"/>
  <c r="T25" i="4"/>
  <c r="S25" i="4"/>
  <c r="R25" i="4"/>
  <c r="Q25" i="4"/>
  <c r="P25" i="4"/>
  <c r="O25" i="4"/>
  <c r="N25" i="4"/>
  <c r="M25" i="4"/>
  <c r="L25" i="4"/>
  <c r="D26" i="4"/>
  <c r="C26" i="4"/>
  <c r="G26" i="4" s="1"/>
  <c r="I26" i="4" s="1"/>
  <c r="B26" i="4"/>
  <c r="F26" i="4" s="1"/>
  <c r="H26" i="4" s="1"/>
  <c r="T24" i="4"/>
  <c r="S24" i="4"/>
  <c r="R24" i="4"/>
  <c r="Q24" i="4"/>
  <c r="P24" i="4"/>
  <c r="O24" i="4"/>
  <c r="N24" i="4"/>
  <c r="M24" i="4"/>
  <c r="L24" i="4"/>
  <c r="E25" i="4"/>
  <c r="D25" i="4"/>
  <c r="C25" i="4"/>
  <c r="G25" i="4" s="1"/>
  <c r="I25" i="4" s="1"/>
  <c r="B25" i="4"/>
  <c r="F25" i="4" s="1"/>
  <c r="H25" i="4" s="1"/>
  <c r="T23" i="4"/>
  <c r="S23" i="4"/>
  <c r="R23" i="4"/>
  <c r="Q23" i="4"/>
  <c r="P23" i="4"/>
  <c r="O23" i="4"/>
  <c r="N23" i="4"/>
  <c r="M23" i="4"/>
  <c r="L23" i="4"/>
  <c r="E24" i="4"/>
  <c r="D24" i="4"/>
  <c r="C24" i="4"/>
  <c r="G24" i="4" s="1"/>
  <c r="I24" i="4" s="1"/>
  <c r="B24" i="4"/>
  <c r="F24" i="4" s="1"/>
  <c r="H24" i="4" s="1"/>
  <c r="T22" i="4"/>
  <c r="S22" i="4"/>
  <c r="R22" i="4"/>
  <c r="Q22" i="4"/>
  <c r="P22" i="4"/>
  <c r="O22" i="4"/>
  <c r="N22" i="4"/>
  <c r="M22" i="4"/>
  <c r="L22" i="4"/>
  <c r="E23" i="4"/>
  <c r="D23" i="4"/>
  <c r="C23" i="4"/>
  <c r="G23" i="4" s="1"/>
  <c r="I23" i="4" s="1"/>
  <c r="B23" i="4"/>
  <c r="F23" i="4" s="1"/>
  <c r="H23" i="4" s="1"/>
  <c r="T21" i="4"/>
  <c r="S21" i="4"/>
  <c r="R21" i="4"/>
  <c r="Q21" i="4"/>
  <c r="P21" i="4"/>
  <c r="O21" i="4"/>
  <c r="N21" i="4"/>
  <c r="M21" i="4"/>
  <c r="L21" i="4"/>
  <c r="E22" i="4"/>
  <c r="D22" i="4"/>
  <c r="C22" i="4"/>
  <c r="G22" i="4" s="1"/>
  <c r="I22" i="4" s="1"/>
  <c r="B22" i="4"/>
  <c r="F22" i="4" s="1"/>
  <c r="H22" i="4" s="1"/>
  <c r="T20" i="4"/>
  <c r="S20" i="4"/>
  <c r="R20" i="4"/>
  <c r="Q20" i="4"/>
  <c r="P20" i="4"/>
  <c r="O20" i="4"/>
  <c r="N20" i="4"/>
  <c r="M20" i="4"/>
  <c r="L20" i="4"/>
  <c r="D21" i="4"/>
  <c r="C21" i="4"/>
  <c r="G21" i="4" s="1"/>
  <c r="I21" i="4" s="1"/>
  <c r="B21" i="4"/>
  <c r="F21" i="4" s="1"/>
  <c r="H21" i="4" s="1"/>
  <c r="T19" i="4"/>
  <c r="S19" i="4"/>
  <c r="R19" i="4"/>
  <c r="Q19" i="4"/>
  <c r="P19" i="4"/>
  <c r="O19" i="4"/>
  <c r="N19" i="4"/>
  <c r="M19" i="4"/>
  <c r="L19" i="4"/>
  <c r="D20" i="4"/>
  <c r="C20" i="4"/>
  <c r="G20" i="4" s="1"/>
  <c r="I20" i="4" s="1"/>
  <c r="B20" i="4"/>
  <c r="F20" i="4" s="1"/>
  <c r="H20" i="4" s="1"/>
  <c r="T18" i="4"/>
  <c r="S18" i="4"/>
  <c r="R18" i="4"/>
  <c r="Q18" i="4"/>
  <c r="P18" i="4"/>
  <c r="O18" i="4"/>
  <c r="N18" i="4"/>
  <c r="M18" i="4"/>
  <c r="L18" i="4"/>
  <c r="J19" i="4" s="1"/>
  <c r="D19" i="4"/>
  <c r="C19" i="4"/>
  <c r="G19" i="4" s="1"/>
  <c r="I19" i="4" s="1"/>
  <c r="B19" i="4"/>
  <c r="F19" i="4" s="1"/>
  <c r="H19" i="4" s="1"/>
  <c r="T17" i="4"/>
  <c r="S17" i="4"/>
  <c r="R17" i="4"/>
  <c r="Q17" i="4"/>
  <c r="P17" i="4"/>
  <c r="O17" i="4"/>
  <c r="N17" i="4"/>
  <c r="M17" i="4"/>
  <c r="L17" i="4"/>
  <c r="E18" i="4"/>
  <c r="C18" i="4"/>
  <c r="G18" i="4" s="1"/>
  <c r="I18" i="4" s="1"/>
  <c r="B18" i="4"/>
  <c r="F18" i="4" s="1"/>
  <c r="H18" i="4" s="1"/>
  <c r="T16" i="4"/>
  <c r="S16" i="4"/>
  <c r="R16" i="4"/>
  <c r="Q16" i="4"/>
  <c r="P16" i="4"/>
  <c r="O16" i="4"/>
  <c r="N16" i="4"/>
  <c r="M16" i="4"/>
  <c r="L16" i="4"/>
  <c r="D17" i="4"/>
  <c r="C17" i="4"/>
  <c r="G17" i="4" s="1"/>
  <c r="I17" i="4" s="1"/>
  <c r="B17" i="4"/>
  <c r="F17" i="4" s="1"/>
  <c r="H17" i="4" s="1"/>
  <c r="T15" i="4"/>
  <c r="S15" i="4"/>
  <c r="R15" i="4"/>
  <c r="Q15" i="4"/>
  <c r="P15" i="4"/>
  <c r="O15" i="4"/>
  <c r="N15" i="4"/>
  <c r="M15" i="4"/>
  <c r="L15" i="4"/>
  <c r="D16" i="4"/>
  <c r="C16" i="4"/>
  <c r="G16" i="4" s="1"/>
  <c r="I16" i="4" s="1"/>
  <c r="B16" i="4"/>
  <c r="F16" i="4" s="1"/>
  <c r="H16" i="4" s="1"/>
  <c r="T14" i="4"/>
  <c r="S14" i="4"/>
  <c r="R14" i="4"/>
  <c r="Q14" i="4"/>
  <c r="P14" i="4"/>
  <c r="O14" i="4"/>
  <c r="N14" i="4"/>
  <c r="M14" i="4"/>
  <c r="L14" i="4"/>
  <c r="D15" i="4"/>
  <c r="C15" i="4"/>
  <c r="G15" i="4" s="1"/>
  <c r="I15" i="4" s="1"/>
  <c r="B15" i="4"/>
  <c r="F15" i="4" s="1"/>
  <c r="H15" i="4" s="1"/>
  <c r="T13" i="4"/>
  <c r="S13" i="4"/>
  <c r="R13" i="4"/>
  <c r="Q13" i="4"/>
  <c r="P13" i="4"/>
  <c r="O13" i="4"/>
  <c r="N13" i="4"/>
  <c r="M13" i="4"/>
  <c r="L13" i="4"/>
  <c r="E14" i="4"/>
  <c r="C14" i="4"/>
  <c r="G14" i="4" s="1"/>
  <c r="I14" i="4" s="1"/>
  <c r="B14" i="4"/>
  <c r="F14" i="4" s="1"/>
  <c r="H14" i="4" s="1"/>
  <c r="T12" i="4"/>
  <c r="S12" i="4"/>
  <c r="R12" i="4"/>
  <c r="Q12" i="4"/>
  <c r="P12" i="4"/>
  <c r="O12" i="4"/>
  <c r="N12" i="4"/>
  <c r="M12" i="4"/>
  <c r="L12" i="4"/>
  <c r="E13" i="4"/>
  <c r="C13" i="4"/>
  <c r="G13" i="4" s="1"/>
  <c r="I13" i="4" s="1"/>
  <c r="B13" i="4"/>
  <c r="F13" i="4" s="1"/>
  <c r="H13" i="4" s="1"/>
  <c r="T11" i="4"/>
  <c r="S11" i="4"/>
  <c r="R11" i="4"/>
  <c r="Q11" i="4"/>
  <c r="P11" i="4"/>
  <c r="O11" i="4"/>
  <c r="N11" i="4"/>
  <c r="M11" i="4"/>
  <c r="L11" i="4"/>
  <c r="E12" i="4"/>
  <c r="C12" i="4"/>
  <c r="G12" i="4" s="1"/>
  <c r="I12" i="4" s="1"/>
  <c r="B12" i="4"/>
  <c r="F12" i="4" s="1"/>
  <c r="H12" i="4" s="1"/>
  <c r="T10" i="4"/>
  <c r="S10" i="4"/>
  <c r="R10" i="4"/>
  <c r="Q10" i="4"/>
  <c r="P10" i="4"/>
  <c r="O10" i="4"/>
  <c r="N10" i="4"/>
  <c r="M10" i="4"/>
  <c r="L10" i="4"/>
  <c r="D11" i="4"/>
  <c r="C11" i="4"/>
  <c r="B11" i="4"/>
  <c r="F11" i="4" s="1"/>
  <c r="H11" i="4" s="1"/>
  <c r="T9" i="4"/>
  <c r="S9" i="4"/>
  <c r="R9" i="4"/>
  <c r="Q9" i="4"/>
  <c r="P9" i="4"/>
  <c r="O9" i="4"/>
  <c r="N9" i="4"/>
  <c r="M9" i="4"/>
  <c r="L9" i="4"/>
  <c r="E10" i="4"/>
  <c r="C10" i="4"/>
  <c r="G10" i="4" s="1"/>
  <c r="I10" i="4" s="1"/>
  <c r="B10" i="4"/>
  <c r="F10" i="4" s="1"/>
  <c r="H10" i="4" s="1"/>
  <c r="T8" i="4"/>
  <c r="S8" i="4"/>
  <c r="R8" i="4"/>
  <c r="Q8" i="4"/>
  <c r="P8" i="4"/>
  <c r="O8" i="4"/>
  <c r="N8" i="4"/>
  <c r="M8" i="4"/>
  <c r="L8" i="4"/>
  <c r="D9" i="4"/>
  <c r="C9" i="4"/>
  <c r="G9" i="4" s="1"/>
  <c r="I9" i="4" s="1"/>
  <c r="B9" i="4"/>
  <c r="F9" i="4" s="1"/>
  <c r="H9" i="4" s="1"/>
  <c r="T7" i="4"/>
  <c r="S7" i="4"/>
  <c r="R7" i="4"/>
  <c r="Q7" i="4"/>
  <c r="P7" i="4"/>
  <c r="O7" i="4"/>
  <c r="N7" i="4"/>
  <c r="M7" i="4"/>
  <c r="L7" i="4"/>
  <c r="E8" i="4"/>
  <c r="C8" i="4"/>
  <c r="G8" i="4" s="1"/>
  <c r="I8" i="4" s="1"/>
  <c r="B8" i="4"/>
  <c r="F8" i="4" s="1"/>
  <c r="H8" i="4" s="1"/>
  <c r="T6" i="4"/>
  <c r="S6" i="4"/>
  <c r="R6" i="4"/>
  <c r="Q6" i="4"/>
  <c r="P6" i="4"/>
  <c r="O6" i="4"/>
  <c r="N6" i="4"/>
  <c r="M6" i="4"/>
  <c r="L6" i="4"/>
  <c r="E7" i="4"/>
  <c r="C7" i="4"/>
  <c r="B7" i="4"/>
  <c r="T4" i="4"/>
  <c r="T29" i="4" s="1"/>
  <c r="S4" i="4"/>
  <c r="S29" i="4" s="1"/>
  <c r="R4" i="4"/>
  <c r="R29" i="4" s="1"/>
  <c r="Q4" i="4"/>
  <c r="Q29" i="4" s="1"/>
  <c r="P4" i="4"/>
  <c r="P29" i="4" s="1"/>
  <c r="O4" i="4"/>
  <c r="O29" i="4" s="1"/>
  <c r="N4" i="4"/>
  <c r="N29" i="4" s="1"/>
  <c r="M4" i="4"/>
  <c r="M29" i="4" s="1"/>
  <c r="L4" i="4"/>
  <c r="L29" i="4" s="1"/>
  <c r="J18" i="4" l="1"/>
  <c r="J14" i="4"/>
  <c r="J10" i="4"/>
  <c r="J12" i="4"/>
  <c r="J9" i="4"/>
  <c r="J7" i="4"/>
  <c r="H7" i="1" s="1"/>
  <c r="K7" i="1" s="1"/>
  <c r="J13" i="4"/>
  <c r="J16" i="4"/>
  <c r="H16" i="1" s="1"/>
  <c r="K16" i="1" s="1"/>
  <c r="J20" i="4"/>
  <c r="J8" i="4"/>
  <c r="J15" i="4"/>
  <c r="H15" i="1" s="1"/>
  <c r="K15" i="1" s="1"/>
  <c r="J11" i="4"/>
  <c r="H9" i="1"/>
  <c r="K9" i="1" s="1"/>
  <c r="H12" i="1"/>
  <c r="K12" i="1" s="1"/>
  <c r="H13" i="1"/>
  <c r="K13" i="1" s="1"/>
  <c r="H11" i="1"/>
  <c r="K11" i="1" s="1"/>
  <c r="H8" i="1"/>
  <c r="K8" i="1" s="1"/>
  <c r="H19" i="1"/>
  <c r="K19" i="1" s="1"/>
  <c r="H14" i="1"/>
  <c r="K14" i="1" s="1"/>
  <c r="H10" i="1"/>
  <c r="K10" i="1" s="1"/>
  <c r="H20" i="1"/>
  <c r="K20" i="1" s="1"/>
  <c r="H18" i="1"/>
  <c r="K18" i="1" s="1"/>
  <c r="E11" i="1"/>
  <c r="J17" i="4"/>
  <c r="H17" i="1" s="1"/>
  <c r="K17" i="1" s="1"/>
  <c r="M26" i="1"/>
  <c r="E26" i="4"/>
  <c r="J26" i="4"/>
  <c r="H26" i="1" s="1"/>
  <c r="E9" i="1"/>
  <c r="G11" i="4"/>
  <c r="I11" i="4" s="1"/>
  <c r="C27" i="4"/>
  <c r="G7" i="4"/>
  <c r="B27" i="4"/>
  <c r="F7" i="4"/>
  <c r="E24" i="1"/>
  <c r="E25" i="1"/>
  <c r="E26" i="1"/>
  <c r="J25" i="1"/>
  <c r="B24" i="1"/>
  <c r="B26" i="1"/>
  <c r="B25" i="1"/>
  <c r="B23" i="1"/>
  <c r="B22" i="1"/>
  <c r="E14" i="1"/>
  <c r="E12" i="1"/>
  <c r="E10" i="1"/>
  <c r="E8" i="1"/>
  <c r="E23" i="1"/>
  <c r="B7" i="1"/>
  <c r="B8" i="1"/>
  <c r="B10" i="1"/>
  <c r="E22" i="1"/>
  <c r="B11" i="1"/>
  <c r="E21" i="1"/>
  <c r="E17" i="1"/>
  <c r="B9" i="1"/>
  <c r="B15" i="1"/>
  <c r="B12" i="1"/>
  <c r="O7" i="1"/>
  <c r="E20" i="1"/>
  <c r="E18" i="1"/>
  <c r="E16" i="1"/>
  <c r="E15" i="1"/>
  <c r="B19" i="1"/>
  <c r="E13" i="1"/>
  <c r="B14" i="1"/>
  <c r="B18" i="1"/>
  <c r="B17" i="1"/>
  <c r="B13" i="1"/>
  <c r="B16" i="1"/>
  <c r="B20" i="1"/>
  <c r="E19" i="1"/>
  <c r="B21" i="1"/>
  <c r="E7" i="1"/>
  <c r="P7" i="1"/>
  <c r="E19" i="4"/>
  <c r="E11" i="4"/>
  <c r="E21" i="4"/>
  <c r="D13" i="4" l="1"/>
  <c r="K27" i="1"/>
  <c r="E20" i="4"/>
  <c r="E15" i="4"/>
  <c r="J26" i="1"/>
  <c r="K26" i="1"/>
  <c r="E9" i="4"/>
  <c r="J20" i="1"/>
  <c r="E16" i="4"/>
  <c r="J8" i="1"/>
  <c r="D8" i="4"/>
  <c r="J7" i="1"/>
  <c r="D7" i="4"/>
  <c r="I7" i="4"/>
  <c r="I27" i="4" s="1"/>
  <c r="G27" i="4"/>
  <c r="J12" i="1"/>
  <c r="D12" i="4"/>
  <c r="J10" i="1"/>
  <c r="D10" i="4"/>
  <c r="J14" i="1"/>
  <c r="D14" i="4"/>
  <c r="F27" i="4"/>
  <c r="H7" i="4"/>
  <c r="H27" i="4" s="1"/>
  <c r="J17" i="1"/>
  <c r="E17" i="4"/>
  <c r="J18" i="1"/>
  <c r="D18" i="4"/>
  <c r="J24" i="1"/>
  <c r="J19" i="1"/>
  <c r="J22" i="1"/>
  <c r="J23" i="1"/>
  <c r="J9" i="1"/>
  <c r="J11" i="1"/>
  <c r="J16" i="1"/>
  <c r="J13" i="1"/>
  <c r="J15" i="1"/>
  <c r="J21" i="1"/>
  <c r="K31" i="1"/>
  <c r="I34" i="1" l="1"/>
  <c r="I30" i="1"/>
  <c r="E27" i="4"/>
  <c r="H34" i="1" s="1"/>
  <c r="D27" i="4"/>
  <c r="E36" i="4" l="1"/>
  <c r="E35" i="4"/>
  <c r="E34" i="4"/>
  <c r="H30" i="1"/>
  <c r="E31" i="4" s="1"/>
  <c r="K34" i="1"/>
  <c r="J34" i="1"/>
  <c r="E30" i="4" l="1"/>
  <c r="B33" i="1" s="1"/>
  <c r="E32" i="4"/>
  <c r="B31" i="1"/>
  <c r="J30" i="1"/>
  <c r="K30" i="1"/>
  <c r="B32" i="1" l="1"/>
</calcChain>
</file>

<file path=xl/sharedStrings.xml><?xml version="1.0" encoding="utf-8"?>
<sst xmlns="http://schemas.openxmlformats.org/spreadsheetml/2006/main" count="130" uniqueCount="92">
  <si>
    <t>Tuloilmaventtiilit</t>
  </si>
  <si>
    <t>Huone</t>
  </si>
  <si>
    <t>KTS-100</t>
  </si>
  <si>
    <t>KTS-125</t>
  </si>
  <si>
    <t>KSO-100</t>
  </si>
  <si>
    <t>0,0906x + 1,8782</t>
  </si>
  <si>
    <t>Kaavat</t>
  </si>
  <si>
    <t>mm -&gt; k-arvo</t>
  </si>
  <si>
    <t>KSO-125</t>
  </si>
  <si>
    <t>k-arvo -&gt; mm</t>
  </si>
  <si>
    <t>KTS-125 (suuntaava)</t>
  </si>
  <si>
    <t>KTS-100 (suuntaava)</t>
  </si>
  <si>
    <t>KTS-100 (s &gt;06.2006)</t>
  </si>
  <si>
    <t>KTS-125 (s &gt;06.2006)</t>
  </si>
  <si>
    <t>11,022x - 20,705</t>
  </si>
  <si>
    <t xml:space="preserve"> 0,3997x + 0,3421</t>
  </si>
  <si>
    <t xml:space="preserve"> -0,004x^2 + 0,2431x + 0,5081</t>
  </si>
  <si>
    <r>
      <t>0,7445x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+ 2,48x - 1,0574</t>
    </r>
  </si>
  <si>
    <r>
      <t>0,7921x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 - 4,0196x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+ 9,5833x - 4,3404</t>
    </r>
  </si>
  <si>
    <t>2,499x - 0,8471</t>
  </si>
  <si>
    <r>
      <t>0,006x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+ 0,3161x + 0,8944</t>
    </r>
  </si>
  <si>
    <r>
      <t>-0,0058x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+ 0,3221x + 0,835</t>
    </r>
  </si>
  <si>
    <r>
      <t>0,5833x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+ 0,9293x - 0,2609</t>
    </r>
  </si>
  <si>
    <r>
      <t>-0,072x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+ 2,9879x - 2,3442</t>
    </r>
  </si>
  <si>
    <r>
      <t>-0,3012x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+ 9,7134x - 23,96</t>
    </r>
  </si>
  <si>
    <t>0,0006x2 + 0,124x + 2,6914</t>
  </si>
  <si>
    <t>K</t>
  </si>
  <si>
    <t>PH</t>
  </si>
  <si>
    <t>S</t>
  </si>
  <si>
    <t>suunniteltu</t>
  </si>
  <si>
    <t>KHH</t>
  </si>
  <si>
    <t>tulot</t>
  </si>
  <si>
    <t>poistot</t>
  </si>
  <si>
    <t>Päätelaite</t>
  </si>
  <si>
    <t>STQA-100/125</t>
  </si>
  <si>
    <t>0,3x</t>
  </si>
  <si>
    <t>3,33333x</t>
  </si>
  <si>
    <t>Tyyppi</t>
  </si>
  <si>
    <r>
      <t>0,6853x</t>
    </r>
    <r>
      <rPr>
        <vertAlign val="superscript"/>
        <sz val="11"/>
        <color theme="1"/>
        <rFont val="Calibri"/>
        <family val="2"/>
        <scheme val="minor"/>
      </rPr>
      <t>3</t>
    </r>
    <r>
      <rPr>
        <sz val="11"/>
        <color theme="1"/>
        <rFont val="Calibri"/>
        <family val="2"/>
        <scheme val="minor"/>
      </rPr>
      <t xml:space="preserve"> - 5,4573x</t>
    </r>
    <r>
      <rPr>
        <vertAlign val="superscript"/>
        <sz val="11"/>
        <color theme="1"/>
        <rFont val="Calibri"/>
        <family val="2"/>
        <scheme val="minor"/>
      </rPr>
      <t>2</t>
    </r>
    <r>
      <rPr>
        <sz val="11"/>
        <color theme="1"/>
        <rFont val="Calibri"/>
        <family val="2"/>
        <scheme val="minor"/>
      </rPr>
      <t xml:space="preserve"> + 17,249x - 13,82</t>
    </r>
  </si>
  <si>
    <t>0,01222x2 + 0,4069x + 0,2263</t>
  </si>
  <si>
    <t>-0,0134x2 + 0,4836x + 0,1744</t>
  </si>
  <si>
    <t>Mitattu</t>
  </si>
  <si>
    <t>Suunniteltu</t>
  </si>
  <si>
    <t>Ero %</t>
  </si>
  <si>
    <t>Nro</t>
  </si>
  <si>
    <t>OH</t>
  </si>
  <si>
    <t>TH</t>
  </si>
  <si>
    <t>MH 1</t>
  </si>
  <si>
    <t>MH 2</t>
  </si>
  <si>
    <t>MH 3</t>
  </si>
  <si>
    <t>WC 1</t>
  </si>
  <si>
    <t>WC 2</t>
  </si>
  <si>
    <t>Ero (l/s)</t>
  </si>
  <si>
    <t>Ilmamäärä
(l/s)</t>
  </si>
  <si>
    <t>Paine-ero
(Pa)</t>
  </si>
  <si>
    <t>Asento
(mm tai n)</t>
  </si>
  <si>
    <t>Suunniteltu
(l/s)</t>
  </si>
  <si>
    <t>Ero
(l/s)</t>
  </si>
  <si>
    <t>Ero
(%)</t>
  </si>
  <si>
    <t>Päätelaitteen säätöasennon laskeminen litrojen ja paineen mukaan</t>
  </si>
  <si>
    <t xml:space="preserve">Ilmanvaihtolaskelma </t>
  </si>
  <si>
    <t>KTS-100/125</t>
  </si>
  <si>
    <t>Poistoilmaventtiilit</t>
  </si>
  <si>
    <t>KSO-100/125</t>
  </si>
  <si>
    <t>mitattu lkm</t>
  </si>
  <si>
    <t xml:space="preserve"> mitattu litrat</t>
  </si>
  <si>
    <t>suunniteltu lkm</t>
  </si>
  <si>
    <t>suunniteltu litrat</t>
  </si>
  <si>
    <t>ilmamäärät eri venttileillä</t>
  </si>
  <si>
    <t>Yhteenveto</t>
  </si>
  <si>
    <t>Poistoilmavirrat</t>
  </si>
  <si>
    <t>Tuloilmavirrat</t>
  </si>
  <si>
    <t>Johtopäätökset</t>
  </si>
  <si>
    <t>1=samat</t>
  </si>
  <si>
    <t>2=alip</t>
  </si>
  <si>
    <t>3=ylip</t>
  </si>
  <si>
    <t>mitattu</t>
  </si>
  <si>
    <t>Mitattu (l/s)</t>
  </si>
  <si>
    <t>abs l/s ero</t>
  </si>
  <si>
    <t>abs % ero</t>
  </si>
  <si>
    <t>Haluttu
virtaus (l/s)</t>
  </si>
  <si>
    <t>©Fraatti</t>
  </si>
  <si>
    <t>Rak mk E7 KTS-100 max 12mm, KTS-125 max 8mm (*)</t>
  </si>
  <si>
    <t>Rak mk E7 KSO-100 max 10mm, KSO-125 max 7,5mm (*)</t>
  </si>
  <si>
    <t>(*) Koskee eri palo-osastoja</t>
  </si>
  <si>
    <t>lämpötila</t>
  </si>
  <si>
    <t>tiheys @RH 20%</t>
  </si>
  <si>
    <t>ilman tiheys vs lämpötila</t>
  </si>
  <si>
    <r>
      <t>y = 2E-05x</t>
    </r>
    <r>
      <rPr>
        <vertAlign val="superscript"/>
        <sz val="10"/>
        <color rgb="FF000000"/>
        <rFont val="Calibri"/>
        <family val="2"/>
        <scheme val="minor"/>
      </rPr>
      <t>2</t>
    </r>
    <r>
      <rPr>
        <sz val="10"/>
        <color rgb="FF000000"/>
        <rFont val="Calibri"/>
        <family val="2"/>
        <scheme val="minor"/>
      </rPr>
      <t xml:space="preserve"> - 0,0048x + 1,2917</t>
    </r>
  </si>
  <si>
    <t>virtaus</t>
  </si>
  <si>
    <t>Lämpötila (°C)</t>
  </si>
  <si>
    <t>ilmamäärä venttiililtä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</si>
</sst>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0.0"/>
    <numFmt numFmtId="166" formatCode="0.0\ 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vertAlign val="superscript"/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8F8F8"/>
        <bgColor indexed="64"/>
      </patternFill>
    </fill>
  </fills>
  <borders count="5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3">
    <xf numFmtId="0" fontId="0" fillId="0" borderId="0" xfId="0"/>
    <xf numFmtId="0" fontId="3" fillId="0" borderId="0" xfId="0" applyFont="1" applyAlignment="1">
      <alignment horizontal="center" vertical="center" readingOrder="1"/>
    </xf>
    <xf numFmtId="0" fontId="2" fillId="0" borderId="0" xfId="0" applyFont="1"/>
    <xf numFmtId="0" fontId="3" fillId="0" borderId="0" xfId="0" applyFont="1" applyAlignment="1">
      <alignment vertical="center" readingOrder="1"/>
    </xf>
    <xf numFmtId="0" fontId="3" fillId="0" borderId="0" xfId="0" quotePrefix="1" applyFont="1" applyAlignment="1">
      <alignment horizontal="left" vertical="center" readingOrder="1"/>
    </xf>
    <xf numFmtId="0" fontId="6" fillId="0" borderId="0" xfId="0" applyFont="1"/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2" borderId="0" xfId="0" applyFont="1" applyFill="1"/>
    <xf numFmtId="166" fontId="6" fillId="0" borderId="0" xfId="1" applyNumberFormat="1" applyFont="1"/>
    <xf numFmtId="165" fontId="6" fillId="0" borderId="0" xfId="0" applyNumberFormat="1" applyFont="1"/>
    <xf numFmtId="2" fontId="6" fillId="0" borderId="0" xfId="0" applyNumberFormat="1" applyFont="1"/>
    <xf numFmtId="0" fontId="8" fillId="0" borderId="0" xfId="0" applyFont="1" applyAlignment="1">
      <alignment horizontal="center"/>
    </xf>
    <xf numFmtId="0" fontId="0" fillId="0" borderId="26" xfId="0" applyBorder="1"/>
    <xf numFmtId="0" fontId="0" fillId="0" borderId="27" xfId="0" applyBorder="1"/>
    <xf numFmtId="0" fontId="0" fillId="0" borderId="18" xfId="0" applyBorder="1"/>
    <xf numFmtId="0" fontId="11" fillId="0" borderId="0" xfId="0" applyFont="1"/>
    <xf numFmtId="0" fontId="6" fillId="0" borderId="32" xfId="0" applyFont="1" applyBorder="1"/>
    <xf numFmtId="0" fontId="6" fillId="0" borderId="33" xfId="0" applyFont="1" applyBorder="1"/>
    <xf numFmtId="0" fontId="6" fillId="0" borderId="13" xfId="0" applyFont="1" applyBorder="1"/>
    <xf numFmtId="0" fontId="6" fillId="0" borderId="15" xfId="0" applyFont="1" applyBorder="1"/>
    <xf numFmtId="165" fontId="6" fillId="0" borderId="13" xfId="0" applyNumberFormat="1" applyFont="1" applyBorder="1"/>
    <xf numFmtId="165" fontId="6" fillId="0" borderId="15" xfId="0" applyNumberFormat="1" applyFont="1" applyBorder="1"/>
    <xf numFmtId="1" fontId="6" fillId="0" borderId="13" xfId="1" applyNumberFormat="1" applyFont="1" applyBorder="1" applyAlignment="1"/>
    <xf numFmtId="1" fontId="6" fillId="0" borderId="15" xfId="1" applyNumberFormat="1" applyFont="1" applyBorder="1" applyAlignment="1"/>
    <xf numFmtId="165" fontId="6" fillId="0" borderId="13" xfId="1" applyNumberFormat="1" applyFont="1" applyBorder="1" applyAlignment="1"/>
    <xf numFmtId="1" fontId="6" fillId="0" borderId="13" xfId="0" applyNumberFormat="1" applyFont="1" applyBorder="1"/>
    <xf numFmtId="1" fontId="6" fillId="0" borderId="15" xfId="0" applyNumberFormat="1" applyFont="1" applyBorder="1"/>
    <xf numFmtId="1" fontId="6" fillId="0" borderId="37" xfId="1" applyNumberFormat="1" applyFont="1" applyBorder="1" applyAlignment="1"/>
    <xf numFmtId="1" fontId="6" fillId="0" borderId="38" xfId="1" applyNumberFormat="1" applyFont="1" applyBorder="1" applyAlignment="1"/>
    <xf numFmtId="165" fontId="6" fillId="0" borderId="37" xfId="1" applyNumberFormat="1" applyFont="1" applyBorder="1" applyAlignment="1"/>
    <xf numFmtId="165" fontId="6" fillId="0" borderId="38" xfId="0" applyNumberFormat="1" applyFont="1" applyBorder="1"/>
    <xf numFmtId="1" fontId="6" fillId="0" borderId="37" xfId="0" applyNumberFormat="1" applyFont="1" applyBorder="1"/>
    <xf numFmtId="1" fontId="6" fillId="0" borderId="38" xfId="0" applyNumberFormat="1" applyFont="1" applyBorder="1"/>
    <xf numFmtId="165" fontId="6" fillId="0" borderId="37" xfId="0" applyNumberFormat="1" applyFont="1" applyBorder="1"/>
    <xf numFmtId="1" fontId="6" fillId="0" borderId="39" xfId="1" applyNumberFormat="1" applyFont="1" applyBorder="1" applyAlignment="1"/>
    <xf numFmtId="1" fontId="6" fillId="0" borderId="40" xfId="1" applyNumberFormat="1" applyFont="1" applyBorder="1" applyAlignment="1"/>
    <xf numFmtId="165" fontId="6" fillId="0" borderId="39" xfId="1" applyNumberFormat="1" applyFont="1" applyBorder="1" applyAlignment="1"/>
    <xf numFmtId="165" fontId="6" fillId="0" borderId="40" xfId="0" applyNumberFormat="1" applyFont="1" applyBorder="1"/>
    <xf numFmtId="1" fontId="6" fillId="0" borderId="39" xfId="0" applyNumberFormat="1" applyFont="1" applyBorder="1"/>
    <xf numFmtId="1" fontId="6" fillId="0" borderId="40" xfId="0" applyNumberFormat="1" applyFont="1" applyBorder="1"/>
    <xf numFmtId="165" fontId="6" fillId="0" borderId="39" xfId="0" applyNumberFormat="1" applyFont="1" applyBorder="1"/>
    <xf numFmtId="0" fontId="6" fillId="0" borderId="30" xfId="0" applyFont="1" applyBorder="1"/>
    <xf numFmtId="1" fontId="6" fillId="0" borderId="35" xfId="0" applyNumberFormat="1" applyFont="1" applyBorder="1"/>
    <xf numFmtId="0" fontId="6" fillId="0" borderId="35" xfId="0" applyFont="1" applyBorder="1"/>
    <xf numFmtId="0" fontId="6" fillId="0" borderId="31" xfId="0" applyFont="1" applyBorder="1"/>
    <xf numFmtId="166" fontId="6" fillId="0" borderId="0" xfId="1" applyNumberFormat="1" applyFont="1" applyBorder="1"/>
    <xf numFmtId="0" fontId="6" fillId="0" borderId="34" xfId="0" applyFont="1" applyBorder="1"/>
    <xf numFmtId="0" fontId="6" fillId="0" borderId="36" xfId="0" applyFont="1" applyBorder="1"/>
    <xf numFmtId="166" fontId="6" fillId="0" borderId="36" xfId="1" applyNumberFormat="1" applyFont="1" applyBorder="1"/>
    <xf numFmtId="0" fontId="6" fillId="0" borderId="19" xfId="0" applyFont="1" applyBorder="1"/>
    <xf numFmtId="0" fontId="7" fillId="2" borderId="22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165" fontId="7" fillId="2" borderId="18" xfId="0" applyNumberFormat="1" applyFont="1" applyFill="1" applyBorder="1" applyAlignment="1">
      <alignment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165" fontId="7" fillId="2" borderId="14" xfId="0" applyNumberFormat="1" applyFont="1" applyFill="1" applyBorder="1" applyAlignment="1">
      <alignment vertical="center"/>
    </xf>
    <xf numFmtId="166" fontId="7" fillId="2" borderId="15" xfId="1" applyNumberFormat="1" applyFont="1" applyFill="1" applyBorder="1" applyAlignment="1">
      <alignment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165" fontId="7" fillId="2" borderId="16" xfId="0" applyNumberFormat="1" applyFont="1" applyFill="1" applyBorder="1" applyAlignment="1">
      <alignment vertical="center"/>
    </xf>
    <xf numFmtId="0" fontId="7" fillId="2" borderId="13" xfId="0" applyFont="1" applyFill="1" applyBorder="1"/>
    <xf numFmtId="0" fontId="7" fillId="2" borderId="14" xfId="0" applyFont="1" applyFill="1" applyBorder="1"/>
    <xf numFmtId="0" fontId="7" fillId="2" borderId="15" xfId="0" applyFont="1" applyFill="1" applyBorder="1"/>
    <xf numFmtId="0" fontId="6" fillId="2" borderId="5" xfId="0" applyFont="1" applyFill="1" applyBorder="1"/>
    <xf numFmtId="2" fontId="7" fillId="2" borderId="15" xfId="0" applyNumberFormat="1" applyFont="1" applyFill="1" applyBorder="1"/>
    <xf numFmtId="0" fontId="6" fillId="2" borderId="8" xfId="0" applyFont="1" applyFill="1" applyBorder="1"/>
    <xf numFmtId="0" fontId="7" fillId="2" borderId="16" xfId="0" applyFont="1" applyFill="1" applyBorder="1"/>
    <xf numFmtId="165" fontId="7" fillId="2" borderId="16" xfId="0" applyNumberFormat="1" applyFont="1" applyFill="1" applyBorder="1"/>
    <xf numFmtId="166" fontId="7" fillId="2" borderId="17" xfId="1" applyNumberFormat="1" applyFont="1" applyFill="1" applyBorder="1"/>
    <xf numFmtId="0" fontId="6" fillId="2" borderId="7" xfId="0" applyFont="1" applyFill="1" applyBorder="1"/>
    <xf numFmtId="165" fontId="7" fillId="2" borderId="37" xfId="0" applyNumberFormat="1" applyFont="1" applyFill="1" applyBorder="1"/>
    <xf numFmtId="0" fontId="7" fillId="2" borderId="26" xfId="0" applyFont="1" applyFill="1" applyBorder="1"/>
    <xf numFmtId="165" fontId="7" fillId="2" borderId="26" xfId="0" applyNumberFormat="1" applyFont="1" applyFill="1" applyBorder="1"/>
    <xf numFmtId="166" fontId="7" fillId="2" borderId="38" xfId="1" applyNumberFormat="1" applyFont="1" applyFill="1" applyBorder="1"/>
    <xf numFmtId="0" fontId="9" fillId="2" borderId="3" xfId="0" applyFont="1" applyFill="1" applyBorder="1" applyAlignment="1">
      <alignment vertical="center"/>
    </xf>
    <xf numFmtId="0" fontId="6" fillId="2" borderId="2" xfId="0" applyFont="1" applyFill="1" applyBorder="1"/>
    <xf numFmtId="1" fontId="7" fillId="2" borderId="46" xfId="0" applyNumberFormat="1" applyFont="1" applyFill="1" applyBorder="1"/>
    <xf numFmtId="2" fontId="6" fillId="0" borderId="0" xfId="1" applyNumberFormat="1" applyFont="1"/>
    <xf numFmtId="0" fontId="9" fillId="2" borderId="4" xfId="0" applyFont="1" applyFill="1" applyBorder="1" applyAlignment="1">
      <alignment vertical="center"/>
    </xf>
    <xf numFmtId="0" fontId="7" fillId="2" borderId="20" xfId="0" applyFont="1" applyFill="1" applyBorder="1"/>
    <xf numFmtId="165" fontId="7" fillId="2" borderId="21" xfId="0" applyNumberFormat="1" applyFont="1" applyFill="1" applyBorder="1"/>
    <xf numFmtId="0" fontId="6" fillId="2" borderId="36" xfId="0" applyFont="1" applyFill="1" applyBorder="1"/>
    <xf numFmtId="0" fontId="7" fillId="2" borderId="48" xfId="0" applyFont="1" applyFill="1" applyBorder="1"/>
    <xf numFmtId="0" fontId="6" fillId="2" borderId="49" xfId="0" applyFont="1" applyFill="1" applyBorder="1"/>
    <xf numFmtId="165" fontId="7" fillId="2" borderId="50" xfId="0" applyNumberFormat="1" applyFont="1" applyFill="1" applyBorder="1"/>
    <xf numFmtId="1" fontId="7" fillId="2" borderId="50" xfId="0" applyNumberFormat="1" applyFont="1" applyFill="1" applyBorder="1"/>
    <xf numFmtId="0" fontId="6" fillId="2" borderId="47" xfId="0" applyFont="1" applyFill="1" applyBorder="1"/>
    <xf numFmtId="164" fontId="6" fillId="0" borderId="0" xfId="1" applyNumberFormat="1" applyFont="1"/>
    <xf numFmtId="2" fontId="6" fillId="0" borderId="23" xfId="1" applyNumberFormat="1" applyFont="1" applyBorder="1"/>
    <xf numFmtId="2" fontId="6" fillId="0" borderId="51" xfId="1" applyNumberFormat="1" applyFont="1" applyBorder="1"/>
    <xf numFmtId="2" fontId="6" fillId="0" borderId="52" xfId="1" applyNumberFormat="1" applyFont="1" applyBorder="1"/>
    <xf numFmtId="165" fontId="6" fillId="0" borderId="1" xfId="0" applyNumberFormat="1" applyFont="1" applyBorder="1"/>
    <xf numFmtId="0" fontId="6" fillId="3" borderId="19" xfId="0" applyFont="1" applyFill="1" applyBorder="1" applyAlignment="1" applyProtection="1">
      <alignment horizontal="center" vertical="center"/>
      <protection locked="0"/>
    </xf>
    <xf numFmtId="0" fontId="6" fillId="3" borderId="18" xfId="0" applyFont="1" applyFill="1" applyBorder="1" applyAlignment="1" applyProtection="1">
      <alignment horizontal="center" vertical="center"/>
      <protection locked="0"/>
    </xf>
    <xf numFmtId="0" fontId="6" fillId="3" borderId="20" xfId="0" applyFont="1" applyFill="1" applyBorder="1" applyAlignment="1" applyProtection="1">
      <alignment horizontal="center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locked="0"/>
    </xf>
    <xf numFmtId="0" fontId="6" fillId="3" borderId="21" xfId="0" applyFont="1" applyFill="1" applyBorder="1" applyAlignment="1" applyProtection="1">
      <alignment horizontal="center" vertical="center"/>
      <protection locked="0"/>
    </xf>
    <xf numFmtId="0" fontId="6" fillId="3" borderId="16" xfId="0" applyFont="1" applyFill="1" applyBorder="1" applyAlignment="1" applyProtection="1">
      <alignment horizontal="center" vertical="center"/>
      <protection locked="0"/>
    </xf>
    <xf numFmtId="0" fontId="6" fillId="3" borderId="18" xfId="0" applyFont="1" applyFill="1" applyBorder="1" applyAlignment="1" applyProtection="1">
      <alignment vertical="center"/>
      <protection locked="0"/>
    </xf>
    <xf numFmtId="0" fontId="6" fillId="3" borderId="14" xfId="0" applyFont="1" applyFill="1" applyBorder="1" applyAlignment="1" applyProtection="1">
      <alignment vertical="center"/>
      <protection locked="0"/>
    </xf>
    <xf numFmtId="0" fontId="6" fillId="3" borderId="16" xfId="0" applyFont="1" applyFill="1" applyBorder="1" applyAlignment="1" applyProtection="1">
      <alignment vertical="center"/>
      <protection locked="0"/>
    </xf>
    <xf numFmtId="0" fontId="6" fillId="3" borderId="46" xfId="0" applyFont="1" applyFill="1" applyBorder="1" applyProtection="1">
      <protection locked="0"/>
    </xf>
    <xf numFmtId="0" fontId="6" fillId="3" borderId="40" xfId="0" applyFont="1" applyFill="1" applyBorder="1" applyProtection="1">
      <protection locked="0"/>
    </xf>
    <xf numFmtId="0" fontId="6" fillId="3" borderId="11" xfId="0" applyFont="1" applyFill="1" applyBorder="1" applyProtection="1">
      <protection locked="0"/>
    </xf>
    <xf numFmtId="0" fontId="13" fillId="2" borderId="9" xfId="0" applyFont="1" applyFill="1" applyBorder="1"/>
    <xf numFmtId="0" fontId="14" fillId="0" borderId="0" xfId="0" applyFont="1"/>
    <xf numFmtId="0" fontId="6" fillId="3" borderId="39" xfId="0" applyFont="1" applyFill="1" applyBorder="1" applyProtection="1">
      <protection locked="0"/>
    </xf>
    <xf numFmtId="0" fontId="6" fillId="2" borderId="46" xfId="0" applyFont="1" applyFill="1" applyBorder="1"/>
    <xf numFmtId="0" fontId="7" fillId="2" borderId="5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6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7" fillId="2" borderId="44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29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43" xfId="0" applyFont="1" applyFill="1" applyBorder="1" applyAlignment="1">
      <alignment horizontal="center" wrapText="1"/>
    </xf>
    <xf numFmtId="0" fontId="7" fillId="2" borderId="45" xfId="0" applyFont="1" applyFill="1" applyBorder="1" applyAlignment="1">
      <alignment horizontal="center" wrapText="1"/>
    </xf>
    <xf numFmtId="0" fontId="9" fillId="2" borderId="5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  <xf numFmtId="0" fontId="10" fillId="2" borderId="7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6" fillId="0" borderId="41" xfId="0" applyFont="1" applyBorder="1" applyAlignment="1">
      <alignment horizontal="center" wrapText="1"/>
    </xf>
    <xf numFmtId="0" fontId="6" fillId="0" borderId="51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F8F8F8"/>
      <color rgb="FFF3F3F3"/>
      <color rgb="FFFDFDFD"/>
      <color rgb="FFF0F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Relationship Id="rId6" Type="http://schemas.openxmlformats.org/officeDocument/2006/relationships/image" Target="../media/image15.png"/><Relationship Id="rId5" Type="http://schemas.openxmlformats.org/officeDocument/2006/relationships/image" Target="../media/image14.png"/><Relationship Id="rId4" Type="http://schemas.openxmlformats.org/officeDocument/2006/relationships/image" Target="../media/image1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523875</xdr:colOff>
      <xdr:row>18</xdr:row>
      <xdr:rowOff>85725</xdr:rowOff>
    </xdr:from>
    <xdr:to>
      <xdr:col>2</xdr:col>
      <xdr:colOff>419100</xdr:colOff>
      <xdr:row>24</xdr:row>
      <xdr:rowOff>57150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3875" y="3076575"/>
          <a:ext cx="1114425" cy="942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</xdr:colOff>
      <xdr:row>5</xdr:row>
      <xdr:rowOff>57150</xdr:rowOff>
    </xdr:from>
    <xdr:to>
      <xdr:col>2</xdr:col>
      <xdr:colOff>361950</xdr:colOff>
      <xdr:row>11</xdr:row>
      <xdr:rowOff>57150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5" y="904875"/>
          <a:ext cx="942975" cy="971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47625</xdr:colOff>
      <xdr:row>5</xdr:row>
      <xdr:rowOff>0</xdr:rowOff>
    </xdr:from>
    <xdr:to>
      <xdr:col>10</xdr:col>
      <xdr:colOff>514350</xdr:colOff>
      <xdr:row>11</xdr:row>
      <xdr:rowOff>123825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34025" y="847725"/>
          <a:ext cx="1076325" cy="10953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10</xdr:col>
      <xdr:colOff>514350</xdr:colOff>
      <xdr:row>5</xdr:row>
      <xdr:rowOff>28575</xdr:rowOff>
    </xdr:from>
    <xdr:to>
      <xdr:col>13</xdr:col>
      <xdr:colOff>428625</xdr:colOff>
      <xdr:row>12</xdr:row>
      <xdr:rowOff>28575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10350" y="876300"/>
          <a:ext cx="1743075" cy="1133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409575</xdr:colOff>
      <xdr:row>5</xdr:row>
      <xdr:rowOff>114300</xdr:rowOff>
    </xdr:from>
    <xdr:to>
      <xdr:col>17</xdr:col>
      <xdr:colOff>304800</xdr:colOff>
      <xdr:row>11</xdr:row>
      <xdr:rowOff>9525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334375" y="962025"/>
          <a:ext cx="2333625" cy="866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400050</xdr:colOff>
      <xdr:row>4</xdr:row>
      <xdr:rowOff>0</xdr:rowOff>
    </xdr:from>
    <xdr:to>
      <xdr:col>5</xdr:col>
      <xdr:colOff>190500</xdr:colOff>
      <xdr:row>11</xdr:row>
      <xdr:rowOff>104775</xdr:rowOff>
    </xdr:to>
    <xdr:pic>
      <xdr:nvPicPr>
        <xdr:cNvPr id="23" name="Pictur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0" y="685800"/>
          <a:ext cx="1619250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57150</xdr:colOff>
      <xdr:row>17</xdr:row>
      <xdr:rowOff>104775</xdr:rowOff>
    </xdr:from>
    <xdr:to>
      <xdr:col>5</xdr:col>
      <xdr:colOff>19050</xdr:colOff>
      <xdr:row>26</xdr:row>
      <xdr:rowOff>47625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5950" y="2933700"/>
          <a:ext cx="1181100" cy="1400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104775</xdr:colOff>
      <xdr:row>19</xdr:row>
      <xdr:rowOff>0</xdr:rowOff>
    </xdr:from>
    <xdr:to>
      <xdr:col>7</xdr:col>
      <xdr:colOff>133350</xdr:colOff>
      <xdr:row>23</xdr:row>
      <xdr:rowOff>57150</xdr:rowOff>
    </xdr:to>
    <xdr:pic>
      <xdr:nvPicPr>
        <xdr:cNvPr id="27" name="Pictur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52775" y="3152775"/>
          <a:ext cx="1247775" cy="704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247650</xdr:colOff>
      <xdr:row>6</xdr:row>
      <xdr:rowOff>76200</xdr:rowOff>
    </xdr:from>
    <xdr:to>
      <xdr:col>8</xdr:col>
      <xdr:colOff>152400</xdr:colOff>
      <xdr:row>8</xdr:row>
      <xdr:rowOff>152400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95650" y="1085850"/>
          <a:ext cx="1733550" cy="400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361950</xdr:colOff>
      <xdr:row>13</xdr:row>
      <xdr:rowOff>47625</xdr:rowOff>
    </xdr:from>
    <xdr:to>
      <xdr:col>7</xdr:col>
      <xdr:colOff>561975</xdr:colOff>
      <xdr:row>14</xdr:row>
      <xdr:rowOff>152400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15175" y="2695575"/>
          <a:ext cx="809625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247650</xdr:colOff>
      <xdr:row>0</xdr:row>
      <xdr:rowOff>152400</xdr:rowOff>
    </xdr:from>
    <xdr:to>
      <xdr:col>7</xdr:col>
      <xdr:colOff>590550</xdr:colOff>
      <xdr:row>7</xdr:row>
      <xdr:rowOff>57150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00875" y="152400"/>
          <a:ext cx="952500" cy="1295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266700</xdr:colOff>
      <xdr:row>7</xdr:row>
      <xdr:rowOff>133350</xdr:rowOff>
    </xdr:from>
    <xdr:to>
      <xdr:col>8</xdr:col>
      <xdr:colOff>38100</xdr:colOff>
      <xdr:row>12</xdr:row>
      <xdr:rowOff>114300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19925" y="1524000"/>
          <a:ext cx="990600" cy="1047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276225</xdr:colOff>
      <xdr:row>0</xdr:row>
      <xdr:rowOff>161925</xdr:rowOff>
    </xdr:from>
    <xdr:to>
      <xdr:col>11</xdr:col>
      <xdr:colOff>95250</xdr:colOff>
      <xdr:row>7</xdr:row>
      <xdr:rowOff>104775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8650" y="161925"/>
          <a:ext cx="1647825" cy="1333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276225</xdr:colOff>
      <xdr:row>7</xdr:row>
      <xdr:rowOff>123825</xdr:rowOff>
    </xdr:from>
    <xdr:to>
      <xdr:col>11</xdr:col>
      <xdr:colOff>104775</xdr:colOff>
      <xdr:row>13</xdr:row>
      <xdr:rowOff>95250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48650" y="1514475"/>
          <a:ext cx="1657350" cy="1228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238125</xdr:colOff>
      <xdr:row>0</xdr:row>
      <xdr:rowOff>66675</xdr:rowOff>
    </xdr:from>
    <xdr:to>
      <xdr:col>14</xdr:col>
      <xdr:colOff>19050</xdr:colOff>
      <xdr:row>9</xdr:row>
      <xdr:rowOff>171450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039350" y="66675"/>
          <a:ext cx="1609725" cy="19335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552450</xdr:colOff>
      <xdr:row>34</xdr:row>
      <xdr:rowOff>76200</xdr:rowOff>
    </xdr:from>
    <xdr:to>
      <xdr:col>10</xdr:col>
      <xdr:colOff>323850</xdr:colOff>
      <xdr:row>35</xdr:row>
      <xdr:rowOff>171450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29250" y="6581775"/>
          <a:ext cx="1200150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2:AA35"/>
  <sheetViews>
    <sheetView tabSelected="1" zoomScaleNormal="100" workbookViewId="0">
      <selection activeCell="N14" sqref="N14"/>
    </sheetView>
  </sheetViews>
  <sheetFormatPr defaultRowHeight="12.75" customHeight="1" x14ac:dyDescent="0.2"/>
  <cols>
    <col min="1" max="1" width="6" style="5" customWidth="1"/>
    <col min="2" max="2" width="4.42578125" style="5" customWidth="1"/>
    <col min="3" max="3" width="7.5703125" style="5" customWidth="1"/>
    <col min="4" max="4" width="17.140625" style="5" customWidth="1"/>
    <col min="5" max="5" width="11.42578125" style="5" customWidth="1"/>
    <col min="6" max="6" width="9.7109375" style="5" customWidth="1"/>
    <col min="7" max="7" width="8.5703125" style="5" customWidth="1"/>
    <col min="8" max="8" width="12" style="5" customWidth="1"/>
    <col min="9" max="9" width="10.140625" style="5" customWidth="1"/>
    <col min="10" max="12" width="7.140625" style="5" customWidth="1"/>
    <col min="13" max="13" width="8.42578125" style="5" customWidth="1"/>
    <col min="14" max="14" width="18.140625" style="5" customWidth="1"/>
    <col min="15" max="15" width="10.5703125" style="5" customWidth="1"/>
    <col min="16" max="16" width="9.42578125" style="5" customWidth="1"/>
    <col min="17" max="17" width="12.28515625" style="5" customWidth="1"/>
    <col min="18" max="18" width="10.5703125" style="5" customWidth="1"/>
    <col min="19" max="22" width="7.140625" style="5" customWidth="1"/>
    <col min="23" max="23" width="2.85546875" style="5" customWidth="1"/>
    <col min="24" max="32" width="10.28515625" style="5" customWidth="1"/>
    <col min="33" max="16384" width="9.140625" style="5"/>
  </cols>
  <sheetData>
    <row r="2" spans="2:27" ht="12.75" customHeight="1" thickBot="1" x14ac:dyDescent="0.25">
      <c r="C2" s="6"/>
      <c r="T2" s="7"/>
      <c r="Z2" s="8"/>
      <c r="AA2" s="7"/>
    </row>
    <row r="3" spans="2:27" ht="12.75" customHeight="1" x14ac:dyDescent="0.2">
      <c r="B3" s="138" t="s">
        <v>60</v>
      </c>
      <c r="C3" s="139"/>
      <c r="D3" s="139"/>
      <c r="E3" s="139"/>
      <c r="F3" s="139"/>
      <c r="G3" s="139"/>
      <c r="H3" s="139"/>
      <c r="I3" s="139"/>
      <c r="J3" s="139"/>
      <c r="K3" s="142"/>
      <c r="N3" s="113" t="s">
        <v>59</v>
      </c>
      <c r="O3" s="114"/>
      <c r="P3" s="114"/>
      <c r="Q3" s="114"/>
      <c r="R3" s="115"/>
    </row>
    <row r="4" spans="2:27" ht="12.75" customHeight="1" thickBot="1" x14ac:dyDescent="0.25">
      <c r="B4" s="140"/>
      <c r="C4" s="141"/>
      <c r="D4" s="141"/>
      <c r="E4" s="141"/>
      <c r="F4" s="141"/>
      <c r="G4" s="141"/>
      <c r="H4" s="141"/>
      <c r="I4" s="141"/>
      <c r="J4" s="141"/>
      <c r="K4" s="143"/>
      <c r="N4" s="116"/>
      <c r="O4" s="117"/>
      <c r="P4" s="117"/>
      <c r="Q4" s="117"/>
      <c r="R4" s="118"/>
    </row>
    <row r="5" spans="2:27" ht="12.75" customHeight="1" x14ac:dyDescent="0.2">
      <c r="B5" s="136" t="s">
        <v>44</v>
      </c>
      <c r="C5" s="134" t="s">
        <v>1</v>
      </c>
      <c r="D5" s="132" t="s">
        <v>33</v>
      </c>
      <c r="E5" s="132" t="s">
        <v>37</v>
      </c>
      <c r="F5" s="144" t="s">
        <v>55</v>
      </c>
      <c r="G5" s="144" t="s">
        <v>54</v>
      </c>
      <c r="H5" s="144" t="s">
        <v>53</v>
      </c>
      <c r="I5" s="123" t="s">
        <v>56</v>
      </c>
      <c r="J5" s="144" t="s">
        <v>57</v>
      </c>
      <c r="K5" s="130" t="s">
        <v>58</v>
      </c>
      <c r="L5" s="8"/>
      <c r="M5" s="8"/>
      <c r="N5" s="119" t="s">
        <v>33</v>
      </c>
      <c r="O5" s="121" t="s">
        <v>37</v>
      </c>
      <c r="P5" s="123" t="s">
        <v>55</v>
      </c>
      <c r="Q5" s="123" t="s">
        <v>54</v>
      </c>
      <c r="R5" s="125" t="s">
        <v>80</v>
      </c>
    </row>
    <row r="6" spans="2:27" ht="12.75" customHeight="1" thickBot="1" x14ac:dyDescent="0.25">
      <c r="B6" s="137"/>
      <c r="C6" s="135"/>
      <c r="D6" s="133"/>
      <c r="E6" s="133"/>
      <c r="F6" s="145"/>
      <c r="G6" s="145"/>
      <c r="H6" s="145"/>
      <c r="I6" s="124"/>
      <c r="J6" s="145"/>
      <c r="K6" s="131"/>
      <c r="L6" s="8"/>
      <c r="M6" s="8"/>
      <c r="N6" s="120"/>
      <c r="O6" s="122"/>
      <c r="P6" s="124"/>
      <c r="Q6" s="124"/>
      <c r="R6" s="126"/>
    </row>
    <row r="7" spans="2:27" ht="12.75" customHeight="1" thickBot="1" x14ac:dyDescent="0.25">
      <c r="B7" s="52">
        <f>IF(D7&lt;&gt;"",SUM(Laskut!$B$7:C7),"")</f>
        <v>1</v>
      </c>
      <c r="C7" s="94" t="s">
        <v>45</v>
      </c>
      <c r="D7" s="95" t="s">
        <v>2</v>
      </c>
      <c r="E7" s="53" t="str">
        <f>IF(Laskut!C7=1,"Poistoilma",IF(Laskut!B7=1,"Tuloilma",""))</f>
        <v>Tuloilma</v>
      </c>
      <c r="F7" s="100">
        <v>12</v>
      </c>
      <c r="G7" s="100">
        <v>4</v>
      </c>
      <c r="H7" s="57">
        <f>IF(Laskut!J7&lt;&gt;"",IF(Laskut!B7=1,Laskut!J7*SQRT(( (0.00002*20^2 - 0.0048*20 + 1.2917)/( 0.00002*$I$28^2 - 0.0048*$I$28 + 1.2917))),IF(Laskut!C7=1,Laskut!J7*SQRT(( (0.00002*20^2 - 0.0048*20 + 1.2917)/( 0.00002*$I$32^2 - 0.0048*$I$32 + 1.2917))),"")),"")</f>
        <v>10.277000000000001</v>
      </c>
      <c r="I7" s="100">
        <v>10</v>
      </c>
      <c r="J7" s="54">
        <f t="shared" ref="J7:J26" si="0">IF(AND(I7&lt;&gt;"", H7&lt;&gt;""),H7-I7,"")</f>
        <v>0.27700000000000102</v>
      </c>
      <c r="K7" s="58">
        <f t="shared" ref="K7:K19" si="1">IF(AND(I7&lt;&gt;"", H7&lt;&gt;""),ROUND(H7,1)/I7-1,"")</f>
        <v>3.0000000000000027E-2</v>
      </c>
      <c r="L7" s="89"/>
      <c r="N7" s="108" t="s">
        <v>8</v>
      </c>
      <c r="O7" s="109" t="str">
        <f>IF(N7="","",IF(OR(N7=Laskut!L4,N7=Laskut!M4),"Poistoilma","Tuloilma"))</f>
        <v>Poistoilma</v>
      </c>
      <c r="P7" s="78">
        <f>IF(N7="","",IF(N7=Laskut!L4,Laskut!L31,IF(N7=Laskut!M4,Laskut!M31,IF(N7=Laskut!N4,Laskut!N31,IF(N7=Laskut!O4,Laskut!O31,IF(N7=Laskut!P4,Laskut!P31,IF(N7=Laskut!Q4,Laskut!Q31,IF(N7=Laskut!R4,Laskut!R31,IF(N7=Laskut!S4,Laskut!S31,IF(N7=Laskut!T4,Laskut!T31,""))))))))))</f>
        <v>3.744467824279532</v>
      </c>
      <c r="Q7" s="103">
        <v>10</v>
      </c>
      <c r="R7" s="104">
        <v>10</v>
      </c>
    </row>
    <row r="8" spans="2:27" ht="12.75" customHeight="1" x14ac:dyDescent="0.2">
      <c r="B8" s="55">
        <f>IF(D8&lt;&gt;"",SUM(Laskut!$B$7:C8),"")</f>
        <v>2</v>
      </c>
      <c r="C8" s="96" t="s">
        <v>45</v>
      </c>
      <c r="D8" s="97" t="s">
        <v>2</v>
      </c>
      <c r="E8" s="56" t="str">
        <f>IF(Laskut!C8=1,"Poistoilma",IF(Laskut!B8=1,"Tuloilma",""))</f>
        <v>Tuloilma</v>
      </c>
      <c r="F8" s="101">
        <v>12</v>
      </c>
      <c r="G8" s="101">
        <v>4</v>
      </c>
      <c r="H8" s="57">
        <f>IF(Laskut!J8&lt;&gt;"",IF(Laskut!B8=1,Laskut!J8*SQRT(( (0.00002*20^2 - 0.0048*20 + 1.2917)/( 0.00002*$I$28^2 - 0.0048*$I$28 + 1.2917))),IF(Laskut!C8=1,Laskut!J8*SQRT(( (0.00002*20^2 - 0.0048*20 + 1.2917)/( 0.00002*$I$32^2 - 0.0048*$I$32 + 1.2917))),"")),"")</f>
        <v>10.277000000000001</v>
      </c>
      <c r="I8" s="101">
        <v>10</v>
      </c>
      <c r="J8" s="57">
        <f t="shared" si="0"/>
        <v>0.27700000000000102</v>
      </c>
      <c r="K8" s="58">
        <f t="shared" si="1"/>
        <v>3.0000000000000027E-2</v>
      </c>
      <c r="L8" s="79"/>
    </row>
    <row r="9" spans="2:27" ht="12.75" customHeight="1" x14ac:dyDescent="0.2">
      <c r="B9" s="55">
        <f>IF(D9&lt;&gt;"",SUM(Laskut!$B$7:C9),"")</f>
        <v>3</v>
      </c>
      <c r="C9" s="96" t="s">
        <v>26</v>
      </c>
      <c r="D9" s="97" t="s">
        <v>8</v>
      </c>
      <c r="E9" s="56" t="str">
        <f>IF(Laskut!C9=1,"Poistoilma",IF(Laskut!B9=1,"Tuloilma",""))</f>
        <v>Poistoilma</v>
      </c>
      <c r="F9" s="101">
        <v>-7</v>
      </c>
      <c r="G9" s="101">
        <v>25</v>
      </c>
      <c r="H9" s="57">
        <f>IF(Laskut!J9&lt;&gt;"",IF(Laskut!B9=1,Laskut!J9*SQRT(( (0.00002*20^2 - 0.0048*20 + 1.2917)/( 0.00002*$I$28^2 - 0.0048*$I$28 + 1.2917))),IF(Laskut!C9=1,Laskut!J9*SQRT(( (0.00002*20^2 - 0.0048*20 + 1.2917)/( 0.00002*$I$32^2 - 0.0048*$I$32 + 1.2917))),"")),"")</f>
        <v>9.2639999999999993</v>
      </c>
      <c r="I9" s="101">
        <v>10</v>
      </c>
      <c r="J9" s="57">
        <f t="shared" si="0"/>
        <v>-0.73600000000000065</v>
      </c>
      <c r="K9" s="58">
        <f t="shared" si="1"/>
        <v>-6.9999999999999951E-2</v>
      </c>
      <c r="L9" s="79"/>
    </row>
    <row r="10" spans="2:27" ht="12.75" customHeight="1" x14ac:dyDescent="0.2">
      <c r="B10" s="55">
        <f>IF(D10&lt;&gt;"",SUM(Laskut!$B$7:C10),"")</f>
        <v>4</v>
      </c>
      <c r="C10" s="96" t="s">
        <v>46</v>
      </c>
      <c r="D10" s="97" t="s">
        <v>2</v>
      </c>
      <c r="E10" s="56" t="str">
        <f>IF(Laskut!C10=1,"Poistoilma",IF(Laskut!B10=1,"Tuloilma",""))</f>
        <v>Tuloilma</v>
      </c>
      <c r="F10" s="101">
        <v>8</v>
      </c>
      <c r="G10" s="101">
        <v>6</v>
      </c>
      <c r="H10" s="57">
        <f>IF(Laskut!J10&lt;&gt;"",IF(Laskut!B10=1,Laskut!J10*SQRT(( (0.00002*20^2 - 0.0048*20 + 1.2917)/( 0.00002*$I$28^2 - 0.0048*$I$28 + 1.2917))),IF(Laskut!C10=1,Laskut!J10*SQRT(( (0.00002*20^2 - 0.0048*20 + 1.2917)/( 0.00002*$I$32^2 - 0.0048*$I$32 + 1.2917))),"")),"")</f>
        <v>8.6704588425296141</v>
      </c>
      <c r="I10" s="101">
        <v>8</v>
      </c>
      <c r="J10" s="57">
        <f t="shared" si="0"/>
        <v>0.67045884252961407</v>
      </c>
      <c r="K10" s="58">
        <f t="shared" si="1"/>
        <v>8.7499999999999911E-2</v>
      </c>
      <c r="L10" s="79"/>
    </row>
    <row r="11" spans="2:27" ht="12.75" customHeight="1" x14ac:dyDescent="0.2">
      <c r="B11" s="55">
        <f>IF(D11&lt;&gt;"",SUM(Laskut!$B$7:C11),"")</f>
        <v>5</v>
      </c>
      <c r="C11" s="96" t="s">
        <v>50</v>
      </c>
      <c r="D11" s="97" t="s">
        <v>8</v>
      </c>
      <c r="E11" s="56" t="str">
        <f>IF(Laskut!C11=1,"Poistoilma",IF(Laskut!B11=1,"Tuloilma",""))</f>
        <v>Poistoilma</v>
      </c>
      <c r="F11" s="101">
        <v>-4</v>
      </c>
      <c r="G11" s="101">
        <v>19</v>
      </c>
      <c r="H11" s="57">
        <f>IF(Laskut!J11&lt;&gt;"",IF(Laskut!B11=1,Laskut!J11*SQRT(( (0.00002*20^2 - 0.0048*20 + 1.2917)/( 0.00002*$I$28^2 - 0.0048*$I$28 + 1.2917))),IF(Laskut!C11=1,Laskut!J11*SQRT(( (0.00002*20^2 - 0.0048*20 + 1.2917)/( 0.00002*$I$32^2 - 0.0048*$I$32 + 1.2917))),"")),"")</f>
        <v>9.6113721705071846</v>
      </c>
      <c r="I11" s="101">
        <v>10</v>
      </c>
      <c r="J11" s="57">
        <f t="shared" si="0"/>
        <v>-0.38862782949281538</v>
      </c>
      <c r="K11" s="58">
        <f t="shared" si="1"/>
        <v>-4.0000000000000036E-2</v>
      </c>
      <c r="L11" s="79"/>
    </row>
    <row r="12" spans="2:27" ht="12.75" customHeight="1" x14ac:dyDescent="0.2">
      <c r="B12" s="55">
        <f>IF(D12&lt;&gt;"",SUM(Laskut!$B$7:C12),"")</f>
        <v>6</v>
      </c>
      <c r="C12" s="96" t="s">
        <v>49</v>
      </c>
      <c r="D12" s="97" t="s">
        <v>2</v>
      </c>
      <c r="E12" s="56" t="str">
        <f>IF(Laskut!C12=1,"Poistoilma",IF(Laskut!B12=1,"Tuloilma",""))</f>
        <v>Tuloilma</v>
      </c>
      <c r="F12" s="101">
        <v>8</v>
      </c>
      <c r="G12" s="101">
        <v>5</v>
      </c>
      <c r="H12" s="57">
        <f>IF(Laskut!J12&lt;&gt;"",IF(Laskut!B12=1,Laskut!J12*SQRT(( (0.00002*20^2 - 0.0048*20 + 1.2917)/( 0.00002*$I$28^2 - 0.0048*$I$28 + 1.2917))),IF(Laskut!C12=1,Laskut!J12*SQRT(( (0.00002*20^2 - 0.0048*20 + 1.2917)/( 0.00002*$I$32^2 - 0.0048*$I$32 + 1.2917))),"")),"")</f>
        <v>7.9150098199560057</v>
      </c>
      <c r="I12" s="101">
        <v>8</v>
      </c>
      <c r="J12" s="57">
        <f t="shared" si="0"/>
        <v>-8.4990180043994279E-2</v>
      </c>
      <c r="K12" s="58">
        <f t="shared" si="1"/>
        <v>-1.2499999999999956E-2</v>
      </c>
      <c r="L12" s="79"/>
    </row>
    <row r="13" spans="2:27" ht="12.75" customHeight="1" x14ac:dyDescent="0.2">
      <c r="B13" s="55">
        <f>IF(D13&lt;&gt;"",SUM(Laskut!$B$7:C13),"")</f>
        <v>7</v>
      </c>
      <c r="C13" s="96" t="s">
        <v>48</v>
      </c>
      <c r="D13" s="97" t="s">
        <v>2</v>
      </c>
      <c r="E13" s="56" t="str">
        <f>IF(Laskut!C13=1,"Poistoilma",IF(Laskut!B13=1,"Tuloilma",""))</f>
        <v>Tuloilma</v>
      </c>
      <c r="F13" s="101">
        <v>8</v>
      </c>
      <c r="G13" s="101">
        <v>5</v>
      </c>
      <c r="H13" s="57">
        <f>IF(Laskut!J13&lt;&gt;"",IF(Laskut!B13=1,Laskut!J13*SQRT(( (0.00002*20^2 - 0.0048*20 + 1.2917)/( 0.00002*$I$28^2 - 0.0048*$I$28 + 1.2917))),IF(Laskut!C13=1,Laskut!J13*SQRT(( (0.00002*20^2 - 0.0048*20 + 1.2917)/( 0.00002*$I$32^2 - 0.0048*$I$32 + 1.2917))),"")),"")</f>
        <v>7.9150098199560057</v>
      </c>
      <c r="I13" s="101">
        <v>8</v>
      </c>
      <c r="J13" s="57">
        <f t="shared" si="0"/>
        <v>-8.4990180043994279E-2</v>
      </c>
      <c r="K13" s="58">
        <f t="shared" si="1"/>
        <v>-1.2499999999999956E-2</v>
      </c>
      <c r="L13" s="79"/>
    </row>
    <row r="14" spans="2:27" ht="12.75" customHeight="1" x14ac:dyDescent="0.2">
      <c r="B14" s="55">
        <f>IF(D14&lt;&gt;"",SUM(Laskut!$B$7:C14),"")</f>
        <v>8</v>
      </c>
      <c r="C14" s="96" t="s">
        <v>47</v>
      </c>
      <c r="D14" s="97" t="s">
        <v>2</v>
      </c>
      <c r="E14" s="56" t="str">
        <f>IF(Laskut!C14=1,"Poistoilma",IF(Laskut!B14=1,"Tuloilma",""))</f>
        <v>Tuloilma</v>
      </c>
      <c r="F14" s="101">
        <v>12</v>
      </c>
      <c r="G14" s="101">
        <v>5</v>
      </c>
      <c r="H14" s="57">
        <f>IF(Laskut!J14&lt;&gt;"",IF(Laskut!B14=1,Laskut!J14*SQRT(( (0.00002*20^2 - 0.0048*20 + 1.2917)/( 0.00002*$I$28^2 - 0.0048*$I$28 + 1.2917))),IF(Laskut!C14=1,Laskut!J14*SQRT(( (0.00002*20^2 - 0.0048*20 + 1.2917)/( 0.00002*$I$32^2 - 0.0048*$I$32 + 1.2917))),"")),"")</f>
        <v>11.490035302382671</v>
      </c>
      <c r="I14" s="101">
        <v>12</v>
      </c>
      <c r="J14" s="57">
        <f t="shared" si="0"/>
        <v>-0.50996469761732932</v>
      </c>
      <c r="K14" s="58">
        <f t="shared" si="1"/>
        <v>-4.166666666666663E-2</v>
      </c>
      <c r="L14" s="79"/>
    </row>
    <row r="15" spans="2:27" ht="12.75" customHeight="1" x14ac:dyDescent="0.2">
      <c r="B15" s="55">
        <f>IF(D15&lt;&gt;"",SUM(Laskut!$B$7:C15),"")</f>
        <v>9</v>
      </c>
      <c r="C15" s="96" t="s">
        <v>30</v>
      </c>
      <c r="D15" s="97" t="s">
        <v>8</v>
      </c>
      <c r="E15" s="56" t="str">
        <f>IF(Laskut!C15=1,"Poistoilma",IF(Laskut!B15=1,"Tuloilma",""))</f>
        <v>Poistoilma</v>
      </c>
      <c r="F15" s="101">
        <v>8</v>
      </c>
      <c r="G15" s="101">
        <v>11</v>
      </c>
      <c r="H15" s="57">
        <f>IF(Laskut!J15&lt;&gt;"",IF(Laskut!B15=1,Laskut!J15*SQRT(( (0.00002*20^2 - 0.0048*20 + 1.2917)/( 0.00002*$I$28^2 - 0.0048*$I$28 + 1.2917))),IF(Laskut!C15=1,Laskut!J15*SQRT(( (0.00002*20^2 - 0.0048*20 + 1.2917)/( 0.00002*$I$32^2 - 0.0048*$I$32 + 1.2917))),"")),"")</f>
        <v>12.343814144744726</v>
      </c>
      <c r="I15" s="101">
        <v>12</v>
      </c>
      <c r="J15" s="57">
        <f t="shared" si="0"/>
        <v>0.34381414474472649</v>
      </c>
      <c r="K15" s="58">
        <f t="shared" si="1"/>
        <v>2.5000000000000133E-2</v>
      </c>
      <c r="L15" s="79"/>
    </row>
    <row r="16" spans="2:27" ht="12.75" customHeight="1" x14ac:dyDescent="0.2">
      <c r="B16" s="55">
        <f>IF(D16&lt;&gt;"",SUM(Laskut!$B$7:C16),"")</f>
        <v>10</v>
      </c>
      <c r="C16" s="96" t="s">
        <v>51</v>
      </c>
      <c r="D16" s="97" t="s">
        <v>4</v>
      </c>
      <c r="E16" s="56" t="str">
        <f>IF(Laskut!C16=1,"Poistoilma",IF(Laskut!B16=1,"Tuloilma",""))</f>
        <v>Poistoilma</v>
      </c>
      <c r="F16" s="101">
        <v>3</v>
      </c>
      <c r="G16" s="101">
        <v>13</v>
      </c>
      <c r="H16" s="57">
        <f>IF(Laskut!J16&lt;&gt;"",IF(Laskut!B16=1,Laskut!J16*SQRT(( (0.00002*20^2 - 0.0048*20 + 1.2917)/( 0.00002*$I$28^2 - 0.0048*$I$28 + 1.2917))),IF(Laskut!C16=1,Laskut!J16*SQRT(( (0.00002*20^2 - 0.0048*20 + 1.2917)/( 0.00002*$I$32^2 - 0.0048*$I$32 + 1.2917))),"")),"")</f>
        <v>7.7519352422475762</v>
      </c>
      <c r="I16" s="101">
        <v>8</v>
      </c>
      <c r="J16" s="57">
        <f t="shared" si="0"/>
        <v>-0.24806475775242376</v>
      </c>
      <c r="K16" s="58">
        <f t="shared" si="1"/>
        <v>-2.5000000000000022E-2</v>
      </c>
      <c r="L16" s="79"/>
    </row>
    <row r="17" spans="2:13" ht="12.75" customHeight="1" x14ac:dyDescent="0.2">
      <c r="B17" s="55">
        <f>IF(D17&lt;&gt;"",SUM(Laskut!$B$7:C17),"")</f>
        <v>11</v>
      </c>
      <c r="C17" s="96" t="s">
        <v>27</v>
      </c>
      <c r="D17" s="97" t="s">
        <v>8</v>
      </c>
      <c r="E17" s="56" t="str">
        <f>IF(Laskut!C17=1,"Poistoilma",IF(Laskut!B17=1,"Tuloilma",""))</f>
        <v>Poistoilma</v>
      </c>
      <c r="F17" s="101">
        <v>10</v>
      </c>
      <c r="G17" s="101">
        <v>12</v>
      </c>
      <c r="H17" s="57">
        <f>IF(Laskut!J17&lt;&gt;"",IF(Laskut!B17=1,Laskut!J17*SQRT(( (0.00002*20^2 - 0.0048*20 + 1.2917)/( 0.00002*$I$28^2 - 0.0048*$I$28 + 1.2917))),IF(Laskut!C17=1,Laskut!J17*SQRT(( (0.00002*20^2 - 0.0048*20 + 1.2917)/( 0.00002*$I$32^2 - 0.0048*$I$32 + 1.2917))),"")),"")</f>
        <v>13.826615186660831</v>
      </c>
      <c r="I17" s="101">
        <v>15</v>
      </c>
      <c r="J17" s="57">
        <f t="shared" si="0"/>
        <v>-1.1733848133391689</v>
      </c>
      <c r="K17" s="58">
        <f t="shared" si="1"/>
        <v>-7.999999999999996E-2</v>
      </c>
      <c r="L17" s="79"/>
    </row>
    <row r="18" spans="2:13" ht="12.75" customHeight="1" x14ac:dyDescent="0.2">
      <c r="B18" s="55">
        <f>IF(D18&lt;&gt;"",SUM(Laskut!$B$7:C18),"")</f>
        <v>12</v>
      </c>
      <c r="C18" s="96" t="s">
        <v>28</v>
      </c>
      <c r="D18" s="97" t="s">
        <v>2</v>
      </c>
      <c r="E18" s="56" t="str">
        <f>IF(Laskut!C18=1,"Poistoilma",IF(Laskut!B18=1,"Tuloilma",""))</f>
        <v>Tuloilma</v>
      </c>
      <c r="F18" s="101">
        <v>7</v>
      </c>
      <c r="G18" s="101">
        <v>4</v>
      </c>
      <c r="H18" s="57">
        <f>IF(Laskut!J18&lt;&gt;"",IF(Laskut!B18=1,Laskut!J18*SQRT(( (0.00002*20^2 - 0.0048*20 + 1.2917)/( 0.00002*$I$28^2 - 0.0048*$I$28 + 1.2917))),IF(Laskut!C18=1,Laskut!J18*SQRT(( (0.00002*20^2 - 0.0048*20 + 1.2917)/( 0.00002*$I$32^2 - 0.0048*$I$32 + 1.2917))),"")),"")</f>
        <v>6.2799999999999994</v>
      </c>
      <c r="I18" s="101">
        <v>6</v>
      </c>
      <c r="J18" s="57">
        <f t="shared" si="0"/>
        <v>0.27999999999999936</v>
      </c>
      <c r="K18" s="58">
        <f t="shared" si="1"/>
        <v>5.0000000000000044E-2</v>
      </c>
      <c r="L18" s="79"/>
    </row>
    <row r="19" spans="2:13" ht="12.75" customHeight="1" x14ac:dyDescent="0.2">
      <c r="B19" s="55">
        <f>IF(D19&lt;&gt;"",SUM(Laskut!$B$7:C19),"")</f>
        <v>13</v>
      </c>
      <c r="C19" s="96" t="s">
        <v>28</v>
      </c>
      <c r="D19" s="97" t="s">
        <v>4</v>
      </c>
      <c r="E19" s="56" t="str">
        <f>IF(Laskut!C19=1,"Poistoilma",IF(Laskut!B19=1,"Tuloilma",""))</f>
        <v>Poistoilma</v>
      </c>
      <c r="F19" s="101">
        <v>2</v>
      </c>
      <c r="G19" s="101">
        <v>6</v>
      </c>
      <c r="H19" s="57">
        <f>IF(Laskut!J19&lt;&gt;"",IF(Laskut!B19=1,Laskut!J19*SQRT(( (0.00002*20^2 - 0.0048*20 + 1.2917)/( 0.00002*$I$28^2 - 0.0048*$I$28 + 1.2917))),IF(Laskut!C19=1,Laskut!J19*SQRT(( (0.00002*20^2 - 0.0048*20 + 1.2917)/( 0.00002*$I$32^2 - 0.0048*$I$32 + 1.2917))),"")),"")</f>
        <v>5.0444791762876768</v>
      </c>
      <c r="I19" s="101">
        <v>5</v>
      </c>
      <c r="J19" s="57">
        <f t="shared" si="0"/>
        <v>4.4479176287676836E-2</v>
      </c>
      <c r="K19" s="58">
        <f t="shared" si="1"/>
        <v>0</v>
      </c>
      <c r="L19" s="79"/>
    </row>
    <row r="20" spans="2:13" ht="12.75" customHeight="1" x14ac:dyDescent="0.2">
      <c r="B20" s="55">
        <f>IF(D20&lt;&gt;"",SUM(Laskut!$B$7:C20),"")</f>
        <v>14</v>
      </c>
      <c r="C20" s="96"/>
      <c r="D20" s="97" t="s">
        <v>4</v>
      </c>
      <c r="E20" s="56" t="str">
        <f>IF(Laskut!C20=1,"Poistoilma",IF(Laskut!B20=1,"Tuloilma",""))</f>
        <v>Poistoilma</v>
      </c>
      <c r="F20" s="101">
        <v>8</v>
      </c>
      <c r="G20" s="101">
        <v>6</v>
      </c>
      <c r="H20" s="57">
        <f>IF(Laskut!J20&lt;&gt;"",IF(Laskut!B20=1,Laskut!J20*SQRT(( (0.00002*20^2 - 0.0048*20 + 1.2917)/( 0.00002*$I$28^2 - 0.0048*$I$28 + 1.2917))),IF(Laskut!C20=1,Laskut!J20*SQRT(( (0.00002*20^2 - 0.0048*20 + 1.2917)/( 0.00002*$I$32^2 - 0.0048*$I$32 + 1.2917))),"")),"")</f>
        <v>6.3760218004646125</v>
      </c>
      <c r="I20" s="101">
        <v>5</v>
      </c>
      <c r="J20" s="57">
        <f t="shared" si="0"/>
        <v>1.3760218004646125</v>
      </c>
      <c r="K20" s="58">
        <f>IF(AND(I20&lt;&gt;"", H20&lt;&gt;""),ROUND(H20,1)/I20-1,"")</f>
        <v>0.28000000000000003</v>
      </c>
      <c r="L20" s="79"/>
    </row>
    <row r="21" spans="2:13" ht="12.75" customHeight="1" x14ac:dyDescent="0.2">
      <c r="B21" s="55" t="str">
        <f>IF(D21&lt;&gt;"",SUM(Laskut!$B$7:C21),"")</f>
        <v/>
      </c>
      <c r="C21" s="96"/>
      <c r="D21" s="97"/>
      <c r="E21" s="56" t="str">
        <f>IF(Laskut!C21=1,"Poistoilma",IF(Laskut!B21=1,"Tuloilma",""))</f>
        <v/>
      </c>
      <c r="F21" s="101"/>
      <c r="G21" s="101"/>
      <c r="H21" s="57" t="str">
        <f>IF(Laskut!J21&lt;&gt;"",IF(Laskut!B21=1,Laskut!J21*SQRT(( (0.00002*20^2 - 0.0048*20 + 1.2917)/( 0.00002*$I$28^2 - 0.0048*$I$28 + 1.2917))),IF(Laskut!C21=1,Laskut!J21*SQRT(( (0.00002*20^2 - 0.0048*20 + 1.2917)/( 0.00002*$I$32^2 - 0.0048*$I$32 + 1.2917))),"")),"")</f>
        <v/>
      </c>
      <c r="I21" s="101"/>
      <c r="J21" s="57" t="str">
        <f t="shared" si="0"/>
        <v/>
      </c>
      <c r="K21" s="58" t="str">
        <f t="shared" ref="K21:K26" si="2">IF(AND(I21&lt;&gt;"", H21&lt;&gt;""),ROUND(H21,1)/I21-1,"")</f>
        <v/>
      </c>
      <c r="L21" s="79" t="str">
        <f>IF(AND(F21&lt;&gt;"",G21&lt;&gt;""),IF(D21=Laskut!$L$4,Laskut!L20,IF(D21=Laskut!$M$4,Laskut!M20,IF(D21=Laskut!$N$4,Laskut!N20,IF(D21=Laskut!$O$4,Laskut!O20,IF(D21=Laskut!$P$4,Laskut!P20,IF(D21=Laskut!$Q$4,Laskut!Q20,IF(D21=Laskut!$R$4,Laskut!R20,IF(D21=Laskut!$S$4,Laskut!S20,IF(D21=Laskut!$T$4,Laskut!T20,""))))))))),"")</f>
        <v/>
      </c>
      <c r="M21" s="5" t="str">
        <f>IF(L21&lt;&gt;"",IF(Laskut!B21=1,L21*SQRT(( (0.00002*20^2 - 0.0048*20 + 1.2917)/( 0.00002*$I$28^2 - 0.0048*$I$28 + 1.2917))),IF(Laskut!C21=1,L21*SQRT(( (0.00002*20^2 - 0.0048*20 + 1.2917)/( 0.00002*$I$32^2 - 0.0048*$I$32 + 1.2917))),"")),"")</f>
        <v/>
      </c>
    </row>
    <row r="22" spans="2:13" ht="12.75" customHeight="1" x14ac:dyDescent="0.2">
      <c r="B22" s="55" t="str">
        <f>IF(D22&lt;&gt;"",SUM(Laskut!$B$7:C22),"")</f>
        <v/>
      </c>
      <c r="C22" s="96"/>
      <c r="D22" s="97"/>
      <c r="E22" s="56" t="str">
        <f>IF(Laskut!C22=1,"Poistoilma",IF(Laskut!B22=1,"Tuloilma",""))</f>
        <v/>
      </c>
      <c r="F22" s="101"/>
      <c r="G22" s="101"/>
      <c r="H22" s="57" t="str">
        <f>IF(Laskut!J22&lt;&gt;"",IF(Laskut!B22=1,Laskut!J22*SQRT(( (0.00002*20^2 - 0.0048*20 + 1.2917)/( 0.00002*$I$28^2 - 0.0048*$I$28 + 1.2917))),IF(Laskut!C22=1,Laskut!J22*SQRT(( (0.00002*20^2 - 0.0048*20 + 1.2917)/( 0.00002*$I$32^2 - 0.0048*$I$32 + 1.2917))),"")),"")</f>
        <v/>
      </c>
      <c r="I22" s="101"/>
      <c r="J22" s="57" t="str">
        <f t="shared" si="0"/>
        <v/>
      </c>
      <c r="K22" s="58" t="str">
        <f t="shared" si="2"/>
        <v/>
      </c>
      <c r="L22" s="79" t="str">
        <f>IF(AND(F22&lt;&gt;"",G22&lt;&gt;""),IF(D22=Laskut!$L$4,Laskut!L21,IF(D22=Laskut!$M$4,Laskut!M21,IF(D22=Laskut!$N$4,Laskut!N21,IF(D22=Laskut!$O$4,Laskut!O21,IF(D22=Laskut!$P$4,Laskut!P21,IF(D22=Laskut!$Q$4,Laskut!Q21,IF(D22=Laskut!$R$4,Laskut!R21,IF(D22=Laskut!$S$4,Laskut!S21,IF(D22=Laskut!$T$4,Laskut!T21,""))))))))),"")</f>
        <v/>
      </c>
      <c r="M22" s="5" t="str">
        <f>IF(L22&lt;&gt;"",IF(Laskut!B22=1,L22*SQRT(( (0.00002*20^2 - 0.0048*20 + 1.2917)/( 0.00002*$I$28^2 - 0.0048*$I$28 + 1.2917))),IF(Laskut!C22=1,L22*SQRT(( (0.00002*20^2 - 0.0048*20 + 1.2917)/( 0.00002*$I$32^2 - 0.0048*$I$32 + 1.2917))),"")),"")</f>
        <v/>
      </c>
    </row>
    <row r="23" spans="2:13" ht="12.75" customHeight="1" x14ac:dyDescent="0.2">
      <c r="B23" s="55" t="str">
        <f>IF(D23&lt;&gt;"",SUM(Laskut!$B$7:C23),"")</f>
        <v/>
      </c>
      <c r="C23" s="96"/>
      <c r="D23" s="97"/>
      <c r="E23" s="56" t="str">
        <f>IF(Laskut!C23=1,"Poistoilma",IF(Laskut!B23=1,"Tuloilma",""))</f>
        <v/>
      </c>
      <c r="F23" s="101"/>
      <c r="G23" s="101"/>
      <c r="H23" s="57" t="str">
        <f>IF(Laskut!J23&lt;&gt;"",IF(Laskut!B23=1,Laskut!J23*SQRT(( (0.00002*20^2 - 0.0048*20 + 1.2917)/( 0.00002*$I$28^2 - 0.0048*$I$28 + 1.2917))),IF(Laskut!C23=1,Laskut!J23*SQRT(( (0.00002*20^2 - 0.0048*20 + 1.2917)/( 0.00002*$I$32^2 - 0.0048*$I$32 + 1.2917))),"")),"")</f>
        <v/>
      </c>
      <c r="I23" s="101"/>
      <c r="J23" s="57" t="str">
        <f t="shared" si="0"/>
        <v/>
      </c>
      <c r="K23" s="58" t="str">
        <f t="shared" si="2"/>
        <v/>
      </c>
      <c r="L23" s="79" t="str">
        <f>IF(AND(F23&lt;&gt;"",G23&lt;&gt;""),IF(D23=Laskut!$L$4,Laskut!L22,IF(D23=Laskut!$M$4,Laskut!M22,IF(D23=Laskut!$N$4,Laskut!N22,IF(D23=Laskut!$O$4,Laskut!O22,IF(D23=Laskut!$P$4,Laskut!P22,IF(D23=Laskut!$Q$4,Laskut!Q22,IF(D23=Laskut!$R$4,Laskut!R22,IF(D23=Laskut!$S$4,Laskut!S22,IF(D23=Laskut!$T$4,Laskut!T22,""))))))))),"")</f>
        <v/>
      </c>
      <c r="M23" s="5" t="str">
        <f>IF(L23&lt;&gt;"",IF(Laskut!B23=1,L23*SQRT(( (0.00002*20^2 - 0.0048*20 + 1.2917)/( 0.00002*$I$28^2 - 0.0048*$I$28 + 1.2917))),IF(Laskut!C23=1,L23*SQRT(( (0.00002*20^2 - 0.0048*20 + 1.2917)/( 0.00002*$I$32^2 - 0.0048*$I$32 + 1.2917))),"")),"")</f>
        <v/>
      </c>
    </row>
    <row r="24" spans="2:13" ht="12.75" customHeight="1" x14ac:dyDescent="0.2">
      <c r="B24" s="55" t="str">
        <f>IF(D24&lt;&gt;"",SUM(Laskut!$B$7:C24),"")</f>
        <v/>
      </c>
      <c r="C24" s="96"/>
      <c r="D24" s="97"/>
      <c r="E24" s="56" t="str">
        <f>IF(Laskut!C24=1,"Poistoilma",IF(Laskut!B24=1,"Tuloilma",""))</f>
        <v/>
      </c>
      <c r="F24" s="101"/>
      <c r="G24" s="101"/>
      <c r="H24" s="57" t="str">
        <f>IF(Laskut!J24&lt;&gt;"",IF(Laskut!B24=1,Laskut!J24*SQRT(( (0.00002*20^2 - 0.0048*20 + 1.2917)/( 0.00002*$I$28^2 - 0.0048*$I$28 + 1.2917))),IF(Laskut!C24=1,Laskut!J24*SQRT(( (0.00002*20^2 - 0.0048*20 + 1.2917)/( 0.00002*$I$32^2 - 0.0048*$I$32 + 1.2917))),"")),"")</f>
        <v/>
      </c>
      <c r="I24" s="101"/>
      <c r="J24" s="57" t="str">
        <f t="shared" si="0"/>
        <v/>
      </c>
      <c r="K24" s="58" t="str">
        <f t="shared" si="2"/>
        <v/>
      </c>
      <c r="L24" s="79" t="str">
        <f>IF(AND(F24&lt;&gt;"",G24&lt;&gt;""),IF(D24=Laskut!$L$4,Laskut!L23,IF(D24=Laskut!$M$4,Laskut!M23,IF(D24=Laskut!$N$4,Laskut!N23,IF(D24=Laskut!$O$4,Laskut!O23,IF(D24=Laskut!$P$4,Laskut!P23,IF(D24=Laskut!$Q$4,Laskut!Q23,IF(D24=Laskut!$R$4,Laskut!R23,IF(D24=Laskut!$S$4,Laskut!S23,IF(D24=Laskut!$T$4,Laskut!T23,""))))))))),"")</f>
        <v/>
      </c>
      <c r="M24" s="5" t="str">
        <f>IF(L24&lt;&gt;"",IF(Laskut!B24=1,L24*SQRT(( (0.00002*20^2 - 0.0048*20 + 1.2917)/( 0.00002*$I$28^2 - 0.0048*$I$28 + 1.2917))),IF(Laskut!C24=1,L24*SQRT(( (0.00002*20^2 - 0.0048*20 + 1.2917)/( 0.00002*$I$32^2 - 0.0048*$I$32 + 1.2917))),"")),"")</f>
        <v/>
      </c>
    </row>
    <row r="25" spans="2:13" ht="12.75" customHeight="1" x14ac:dyDescent="0.2">
      <c r="B25" s="55" t="str">
        <f>IF(D25&lt;&gt;"",SUM(Laskut!$B$7:C25),"")</f>
        <v/>
      </c>
      <c r="C25" s="96"/>
      <c r="D25" s="97"/>
      <c r="E25" s="56" t="str">
        <f>IF(Laskut!C25=1,"Poistoilma",IF(Laskut!B25=1,"Tuloilma",""))</f>
        <v/>
      </c>
      <c r="F25" s="101"/>
      <c r="G25" s="101"/>
      <c r="H25" s="57" t="str">
        <f>IF(Laskut!J25&lt;&gt;"",IF(Laskut!B25=1,Laskut!J25*SQRT(( (0.00002*20^2 - 0.0048*20 + 1.2917)/( 0.00002*$I$28^2 - 0.0048*$I$28 + 1.2917))),IF(Laskut!C25=1,Laskut!J25*SQRT(( (0.00002*20^2 - 0.0048*20 + 1.2917)/( 0.00002*$I$32^2 - 0.0048*$I$32 + 1.2917))),"")),"")</f>
        <v/>
      </c>
      <c r="I25" s="101"/>
      <c r="J25" s="57" t="str">
        <f t="shared" si="0"/>
        <v/>
      </c>
      <c r="K25" s="58" t="str">
        <f t="shared" si="2"/>
        <v/>
      </c>
      <c r="L25" s="79" t="str">
        <f>IF(AND(F25&lt;&gt;"",G25&lt;&gt;""),IF(D25=Laskut!$L$4,Laskut!L24,IF(D25=Laskut!$M$4,Laskut!M24,IF(D25=Laskut!$N$4,Laskut!N24,IF(D25=Laskut!$O$4,Laskut!O24,IF(D25=Laskut!$P$4,Laskut!P24,IF(D25=Laskut!$Q$4,Laskut!Q24,IF(D25=Laskut!$R$4,Laskut!R24,IF(D25=Laskut!$S$4,Laskut!S24,IF(D25=Laskut!$T$4,Laskut!T24,""))))))))),"")</f>
        <v/>
      </c>
      <c r="M25" s="5" t="str">
        <f>IF(L25&lt;&gt;"",IF(Laskut!B25=1,L25*SQRT(( (0.00002*20^2 - 0.0048*20 + 1.2917)/( 0.00002*$I$28^2 - 0.0048*$I$28 + 1.2917))),IF(Laskut!C25=1,L25*SQRT(( (0.00002*20^2 - 0.0048*20 + 1.2917)/( 0.00002*$I$32^2 - 0.0048*$I$32 + 1.2917))),"")),"")</f>
        <v/>
      </c>
    </row>
    <row r="26" spans="2:13" ht="12.75" customHeight="1" thickBot="1" x14ac:dyDescent="0.25">
      <c r="B26" s="59" t="str">
        <f>IF(D26&lt;&gt;"",SUM(Laskut!$B$7:C26),"")</f>
        <v/>
      </c>
      <c r="C26" s="98"/>
      <c r="D26" s="99"/>
      <c r="E26" s="60" t="str">
        <f>IF(Laskut!C26=1,"Poistoilma",IF(Laskut!B26=1,"Tuloilma",""))</f>
        <v/>
      </c>
      <c r="F26" s="102"/>
      <c r="G26" s="102"/>
      <c r="H26" s="57" t="str">
        <f>IF(Laskut!J26&lt;&gt;"",IF(Laskut!B26=1,Laskut!J26*SQRT(( (0.00002*20^2 - 0.0048*20 + 1.2917)/( 0.00002*$I$28^2 - 0.0048*$I$28 + 1.2917))),IF(Laskut!C26=1,Laskut!J26*SQRT(( (0.00002*20^2 - 0.0048*20 + 1.2917)/( 0.00002*$I$32^2 - 0.0048*$I$32 + 1.2917))),"")),"")</f>
        <v/>
      </c>
      <c r="I26" s="102"/>
      <c r="J26" s="61" t="str">
        <f t="shared" si="0"/>
        <v/>
      </c>
      <c r="K26" s="58" t="str">
        <f t="shared" si="2"/>
        <v/>
      </c>
      <c r="L26" s="79" t="str">
        <f>IF(AND(F26&lt;&gt;"",G26&lt;&gt;""),IF(D26=Laskut!$L$4,Laskut!L25,IF(D26=Laskut!$M$4,Laskut!M25,IF(D26=Laskut!$N$4,Laskut!N25,IF(D26=Laskut!$O$4,Laskut!O25,IF(D26=Laskut!$P$4,Laskut!P25,IF(D26=Laskut!$Q$4,Laskut!Q25,IF(D26=Laskut!$R$4,Laskut!R25,IF(D26=Laskut!$S$4,Laskut!S25,IF(D26=Laskut!$T$4,Laskut!T25,""))))))))),"")</f>
        <v/>
      </c>
      <c r="M26" s="5" t="str">
        <f>IF(L26&lt;&gt;"",IF(Laskut!B26=1,L26*SQRT(( (0.00002*20^2 - 0.0048*20 + 1.2917)/( 0.00002*$I$28^2 - 0.0048*$I$28 + 1.2917))),IF(Laskut!C26=1,L26*SQRT(( (0.00002*20^2 - 0.0048*20 + 1.2917)/( 0.00002*$I$32^2 - 0.0048*$I$32 + 1.2917))),"")),"")</f>
        <v/>
      </c>
    </row>
    <row r="27" spans="2:13" ht="12.75" customHeight="1" thickBot="1" x14ac:dyDescent="0.25">
      <c r="B27" s="77"/>
      <c r="C27" s="76"/>
      <c r="D27" s="76"/>
      <c r="E27" s="76"/>
      <c r="F27" s="76"/>
      <c r="G27" s="80"/>
      <c r="H27" s="84" t="s">
        <v>71</v>
      </c>
      <c r="I27" s="85"/>
      <c r="J27" s="85"/>
      <c r="K27" s="86" t="str">
        <f>IF(Laskut!C26&lt;&gt; 0,TEXT(Laskut!B27,"##") &amp; " kpl","")</f>
        <v>7 kpl</v>
      </c>
      <c r="L27" s="10"/>
      <c r="M27" s="10"/>
    </row>
    <row r="28" spans="2:13" ht="12.75" customHeight="1" x14ac:dyDescent="0.2">
      <c r="B28" s="127" t="s">
        <v>69</v>
      </c>
      <c r="C28" s="128"/>
      <c r="D28" s="128"/>
      <c r="E28" s="128"/>
      <c r="F28" s="128"/>
      <c r="G28" s="129"/>
      <c r="H28" s="9" t="s">
        <v>90</v>
      </c>
      <c r="I28" s="105">
        <v>20</v>
      </c>
      <c r="J28" s="83"/>
      <c r="K28" s="88"/>
    </row>
    <row r="29" spans="2:13" ht="12.75" customHeight="1" x14ac:dyDescent="0.2">
      <c r="B29" s="127"/>
      <c r="C29" s="128"/>
      <c r="D29" s="128"/>
      <c r="E29" s="128"/>
      <c r="F29" s="128"/>
      <c r="G29" s="129"/>
      <c r="H29" s="62" t="s">
        <v>77</v>
      </c>
      <c r="I29" s="63" t="s">
        <v>42</v>
      </c>
      <c r="J29" s="63" t="s">
        <v>52</v>
      </c>
      <c r="K29" s="64" t="s">
        <v>43</v>
      </c>
    </row>
    <row r="30" spans="2:13" ht="12.75" customHeight="1" thickBot="1" x14ac:dyDescent="0.25">
      <c r="B30" s="65"/>
      <c r="C30" s="9"/>
      <c r="D30" s="9"/>
      <c r="E30" s="9"/>
      <c r="F30" s="9"/>
      <c r="G30" s="9"/>
      <c r="H30" s="72">
        <f>IF(Laskut!D27&lt;&gt;0,Laskut!D27,"")</f>
        <v>62.824513784824298</v>
      </c>
      <c r="I30" s="73">
        <f>IF(AND(Laskut!B27=Laskut!F27,Laskut!B27&lt;&gt;0),Laskut!H27,"")</f>
        <v>62</v>
      </c>
      <c r="J30" s="74">
        <f>IF(AND(H30&lt;&gt;"", I30&lt;&gt;""),H30-I30,"")</f>
        <v>0.8245137848242976</v>
      </c>
      <c r="K30" s="75">
        <f>IF(AND(H30&lt;&gt;"", I30&lt;&gt;""),H30/I30-1,"")</f>
        <v>1.3298609432649933E-2</v>
      </c>
    </row>
    <row r="31" spans="2:13" ht="12.75" customHeight="1" thickBot="1" x14ac:dyDescent="0.25">
      <c r="B31" s="110" t="str">
        <f>IF(AND(I30&lt;&gt;"",I34&lt;&gt;""),"Suunniteltu tuloilmavirta on " &amp; IF(Laskut!E34=1,"yhtäsuuri kuin poistoilmavirta.",IF(Laskut!E34=2,TEXT(Laskut!E35,"##0,0") &amp; " l/s (" &amp; TEXT(Laskut!E36,"##0,0%") &amp; ") pienempi kuin poistoilmavirta.",IF(Laskut!E34=3,TEXT(Laskut!E35,"##0,0") &amp; " l/s (" &amp; TEXT(Laskut!E36,"##0,0%") &amp; ") suurempi kuin poistoilmavirta.",""))),"")</f>
        <v>Suunniteltu tuloilmavirta on 3,0 l/s (4,8%) pienempi kuin poistoilmavirta.</v>
      </c>
      <c r="C31" s="111"/>
      <c r="D31" s="111"/>
      <c r="E31" s="111"/>
      <c r="F31" s="111"/>
      <c r="G31" s="112"/>
      <c r="H31" s="84" t="s">
        <v>70</v>
      </c>
      <c r="I31" s="85"/>
      <c r="J31" s="85"/>
      <c r="K31" s="87" t="str">
        <f>IF(Laskut!C27&lt;&gt;"",TEXT(Laskut!C27,"##") &amp; " kpl",0)</f>
        <v>7 kpl</v>
      </c>
    </row>
    <row r="32" spans="2:13" ht="12.75" customHeight="1" x14ac:dyDescent="0.2">
      <c r="B32" s="110" t="str">
        <f>IF(AND(H34&lt;&gt;"",H30&lt;&gt;""),"Mitattu tuloilmavirta on " &amp; IF(Laskut!E30=1,"yhtäsuuri kuin poistoilmavirta.",IF(Laskut!E30=2,TEXT(Laskut!E31,"##0,0") &amp; " l/s (" &amp; TEXT(Laskut!E32,"##0,0%") &amp; ") pienempi kuin poistoilmavirta.",IF(Laskut!E30=3,TEXT(Laskut!E31,"##0,0") &amp; " l/s (" &amp; TEXT(Laskut!E32,"##0,0%") &amp; ") suurempi kuin poistoilmavirta.",""))),"")</f>
        <v>Mitattu tuloilmavirta on 1,4 l/s (2,2%) pienempi kuin poistoilmavirta.</v>
      </c>
      <c r="C32" s="111"/>
      <c r="D32" s="111"/>
      <c r="E32" s="111"/>
      <c r="F32" s="111"/>
      <c r="G32" s="112"/>
      <c r="H32" s="9" t="s">
        <v>90</v>
      </c>
      <c r="I32" s="105">
        <v>20</v>
      </c>
      <c r="J32" s="9"/>
      <c r="K32" s="88"/>
    </row>
    <row r="33" spans="2:11" ht="12.75" customHeight="1" x14ac:dyDescent="0.2">
      <c r="B33" s="110" t="str">
        <f>IF(AND(H34&lt;&gt;"",H30&lt;&gt;""),IF(AND(Laskut!E30=3,Laskut!E32&gt;0.03),"Ilmanvaihto tekee rakennuksesta ylipaineisen!",IF(AND(Laskut!E30=2,Laskut!E32&gt;0.03),"Ilmanvaihto tekee rakennuksesta alipaineisen.",IF(AND(Laskut!E30=3,Laskut!E32&lt;=0.03),"Ilmanvaihto tekee rakennuksesta lievästi ylipaineisen!",IF(AND(Laskut!E30=2,Laskut!E32&lt;=0.03),"Ilmanvaihto tekee rakennuksesta lievästi alipaineisen.","")))),"")</f>
        <v>Ilmanvaihto tekee rakennuksesta lievästi alipaineisen.</v>
      </c>
      <c r="C33" s="111"/>
      <c r="D33" s="111"/>
      <c r="E33" s="111"/>
      <c r="F33" s="111"/>
      <c r="G33" s="112"/>
      <c r="H33" s="81" t="s">
        <v>41</v>
      </c>
      <c r="I33" s="63" t="s">
        <v>42</v>
      </c>
      <c r="J33" s="63" t="s">
        <v>52</v>
      </c>
      <c r="K33" s="66" t="s">
        <v>43</v>
      </c>
    </row>
    <row r="34" spans="2:11" ht="12.75" customHeight="1" thickBot="1" x14ac:dyDescent="0.25">
      <c r="B34" s="71"/>
      <c r="C34" s="67"/>
      <c r="D34" s="67"/>
      <c r="E34" s="67"/>
      <c r="F34" s="67"/>
      <c r="G34" s="106" t="s">
        <v>81</v>
      </c>
      <c r="H34" s="82">
        <f>IF(Laskut!E27&lt;&gt;0,Laskut!E27,"")</f>
        <v>64.218237720912612</v>
      </c>
      <c r="I34" s="68">
        <f>IF(AND(Laskut!C27=Laskut!G27,Laskut!C27&lt;&gt;0),Laskut!I27,"")</f>
        <v>65</v>
      </c>
      <c r="J34" s="69">
        <f>IF(AND(H34&lt;&gt;"", I34&lt;&gt;""),H34-I34,"")</f>
        <v>-0.78176227908738838</v>
      </c>
      <c r="K34" s="70">
        <f>IF(AND(H34&lt;&gt;"", I34&lt;&gt;""),H34/I34-1,"")</f>
        <v>-1.2027111985959849E-2</v>
      </c>
    </row>
    <row r="35" spans="2:11" ht="12.75" customHeight="1" x14ac:dyDescent="0.25">
      <c r="D35" s="107"/>
    </row>
  </sheetData>
  <sheetProtection formatCells="0" formatColumns="0" formatRows="0" insertColumns="0" insertRows="0" insertHyperlinks="0" deleteColumns="0" deleteRows="0" sort="0" autoFilter="0" pivotTables="0"/>
  <mergeCells count="22">
    <mergeCell ref="K3:K4"/>
    <mergeCell ref="F5:F6"/>
    <mergeCell ref="G5:G6"/>
    <mergeCell ref="H5:H6"/>
    <mergeCell ref="I5:I6"/>
    <mergeCell ref="J5:J6"/>
    <mergeCell ref="B33:G33"/>
    <mergeCell ref="N3:R4"/>
    <mergeCell ref="N5:N6"/>
    <mergeCell ref="O5:O6"/>
    <mergeCell ref="P5:P6"/>
    <mergeCell ref="Q5:Q6"/>
    <mergeCell ref="R5:R6"/>
    <mergeCell ref="B28:G29"/>
    <mergeCell ref="B31:G31"/>
    <mergeCell ref="B32:G32"/>
    <mergeCell ref="K5:K6"/>
    <mergeCell ref="E5:E6"/>
    <mergeCell ref="D5:D6"/>
    <mergeCell ref="C5:C6"/>
    <mergeCell ref="B5:B6"/>
    <mergeCell ref="B3:J4"/>
  </mergeCells>
  <dataValidations count="7">
    <dataValidation type="decimal" errorStyle="information" allowBlank="1" showInputMessage="1" showErrorMessage="1" error="Litramäärä 0-100 l/s" sqref="I7:I13 I15:I26" xr:uid="{00000000-0002-0000-0000-000000000000}">
      <formula1>0</formula1>
      <formula2>100</formula2>
    </dataValidation>
    <dataValidation type="decimal" allowBlank="1" showInputMessage="1" showErrorMessage="1" error="Litramäärä 0-100 l/s" sqref="I14" xr:uid="{00000000-0002-0000-0000-000001000000}">
      <formula1>0</formula1>
      <formula2>100</formula2>
    </dataValidation>
    <dataValidation type="list" allowBlank="1" showInputMessage="1" showErrorMessage="1" sqref="N7 D7:D26" xr:uid="{00000000-0002-0000-0000-000002000000}">
      <formula1>päätelaitteet.</formula1>
    </dataValidation>
    <dataValidation type="decimal" allowBlank="1" showInputMessage="1" showErrorMessage="1" error="0 - 300 Pa" sqref="Q7" xr:uid="{00000000-0002-0000-0000-000003000000}">
      <formula1>0</formula1>
      <formula2>300</formula2>
    </dataValidation>
    <dataValidation type="decimal" allowBlank="1" showInputMessage="1" showErrorMessage="1" error="Venttiilin asento voi olla -15mm - 15mm" sqref="F7:F26" xr:uid="{00000000-0002-0000-0000-000004000000}">
      <formula1>-15</formula1>
      <formula2>15</formula2>
    </dataValidation>
    <dataValidation type="decimal" allowBlank="1" showInputMessage="1" showErrorMessage="1" error="0 - 100 l/s" sqref="R7" xr:uid="{00000000-0002-0000-0000-000005000000}">
      <formula1>0</formula1>
      <formula2>100</formula2>
    </dataValidation>
    <dataValidation type="decimal" allowBlank="1" showInputMessage="1" showErrorMessage="1" error="Paine voi olla 0 - 300 Pa" sqref="G7:G26" xr:uid="{00000000-0002-0000-0000-000006000000}">
      <formula1>0</formula1>
      <formula2>300</formula2>
    </dataValidation>
  </dataValidations>
  <pageMargins left="0.7" right="0.7" top="0.75" bottom="0.75" header="0.3" footer="0.3"/>
  <pageSetup paperSize="9" scale="81" orientation="portrait" horizontalDpi="0" verticalDpi="0" r:id="rId1"/>
  <colBreaks count="1" manualBreakCount="1">
    <brk id="1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V29"/>
  <sheetViews>
    <sheetView workbookViewId="0">
      <selection activeCell="F17" sqref="F17"/>
    </sheetView>
  </sheetViews>
  <sheetFormatPr defaultRowHeight="12.75" x14ac:dyDescent="0.2"/>
  <cols>
    <col min="1" max="19" width="9.140625" style="5"/>
    <col min="20" max="20" width="12.7109375" style="5" bestFit="1" customWidth="1"/>
    <col min="21" max="16384" width="9.140625" style="5"/>
  </cols>
  <sheetData>
    <row r="2" spans="2:10" ht="15.75" x14ac:dyDescent="0.25">
      <c r="B2" s="17" t="s">
        <v>0</v>
      </c>
    </row>
    <row r="4" spans="2:10" x14ac:dyDescent="0.2">
      <c r="B4" s="6" t="s">
        <v>61</v>
      </c>
      <c r="J4" s="6" t="s">
        <v>34</v>
      </c>
    </row>
    <row r="13" spans="2:10" x14ac:dyDescent="0.2">
      <c r="B13" s="5" t="s">
        <v>82</v>
      </c>
    </row>
    <row r="15" spans="2:10" ht="15.75" x14ac:dyDescent="0.25">
      <c r="B15" s="17" t="s">
        <v>62</v>
      </c>
    </row>
    <row r="17" spans="2:22" x14ac:dyDescent="0.2">
      <c r="B17" s="6" t="s">
        <v>63</v>
      </c>
    </row>
    <row r="18" spans="2:22" x14ac:dyDescent="0.2">
      <c r="S18" s="12"/>
      <c r="T18" s="12"/>
      <c r="U18" s="12"/>
      <c r="V18" s="12"/>
    </row>
    <row r="19" spans="2:22" x14ac:dyDescent="0.2">
      <c r="S19" s="12"/>
      <c r="T19" s="12"/>
      <c r="U19" s="12"/>
      <c r="V19" s="12"/>
    </row>
    <row r="20" spans="2:22" x14ac:dyDescent="0.2">
      <c r="M20" s="12"/>
      <c r="N20" s="12"/>
      <c r="O20" s="11"/>
      <c r="P20" s="11"/>
      <c r="S20" s="12"/>
      <c r="T20" s="12"/>
      <c r="U20" s="12"/>
      <c r="V20" s="12"/>
    </row>
    <row r="21" spans="2:22" x14ac:dyDescent="0.2">
      <c r="M21" s="12"/>
      <c r="N21" s="12"/>
      <c r="O21" s="11"/>
      <c r="P21" s="11"/>
      <c r="S21" s="12"/>
      <c r="T21" s="12"/>
      <c r="U21" s="12"/>
      <c r="V21" s="12"/>
    </row>
    <row r="22" spans="2:22" x14ac:dyDescent="0.2">
      <c r="M22" s="12"/>
      <c r="N22" s="12"/>
      <c r="O22" s="11"/>
      <c r="P22" s="11"/>
      <c r="S22" s="12"/>
      <c r="T22" s="12"/>
      <c r="U22" s="12"/>
      <c r="V22" s="12"/>
    </row>
    <row r="23" spans="2:22" x14ac:dyDescent="0.2">
      <c r="M23" s="12"/>
      <c r="N23" s="12"/>
      <c r="O23" s="11"/>
      <c r="P23" s="11"/>
    </row>
    <row r="24" spans="2:22" x14ac:dyDescent="0.2">
      <c r="M24" s="12"/>
      <c r="N24" s="12"/>
      <c r="O24" s="11"/>
      <c r="P24" s="11"/>
    </row>
    <row r="25" spans="2:22" x14ac:dyDescent="0.2">
      <c r="M25" s="12"/>
      <c r="N25" s="12"/>
      <c r="O25" s="11"/>
      <c r="P25" s="11"/>
    </row>
    <row r="28" spans="2:22" x14ac:dyDescent="0.2">
      <c r="B28" s="5" t="s">
        <v>83</v>
      </c>
    </row>
    <row r="29" spans="2:22" x14ac:dyDescent="0.2">
      <c r="B29" s="5" t="s">
        <v>84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B2:F15"/>
  <sheetViews>
    <sheetView workbookViewId="0">
      <selection activeCell="D15" sqref="D15"/>
    </sheetView>
  </sheetViews>
  <sheetFormatPr defaultRowHeight="15" x14ac:dyDescent="0.25"/>
  <cols>
    <col min="2" max="2" width="19.28515625" customWidth="1"/>
    <col min="4" max="4" width="25.7109375" customWidth="1"/>
    <col min="5" max="5" width="4.7109375" customWidth="1"/>
    <col min="6" max="6" width="33.28515625" customWidth="1"/>
  </cols>
  <sheetData>
    <row r="2" spans="2:6" x14ac:dyDescent="0.25">
      <c r="B2" s="2" t="s">
        <v>6</v>
      </c>
      <c r="D2" s="2" t="s">
        <v>7</v>
      </c>
      <c r="F2" s="2" t="s">
        <v>9</v>
      </c>
    </row>
    <row r="3" spans="2:6" x14ac:dyDescent="0.25">
      <c r="B3" s="14"/>
    </row>
    <row r="4" spans="2:6" x14ac:dyDescent="0.25">
      <c r="B4" s="15" t="s">
        <v>4</v>
      </c>
      <c r="D4" t="s">
        <v>5</v>
      </c>
      <c r="F4" s="3" t="s">
        <v>14</v>
      </c>
    </row>
    <row r="5" spans="2:6" ht="17.25" x14ac:dyDescent="0.25">
      <c r="B5" s="15" t="s">
        <v>8</v>
      </c>
      <c r="D5" t="s">
        <v>25</v>
      </c>
      <c r="F5" t="s">
        <v>24</v>
      </c>
    </row>
    <row r="6" spans="2:6" x14ac:dyDescent="0.25">
      <c r="B6" s="15" t="s">
        <v>2</v>
      </c>
      <c r="D6" t="s">
        <v>15</v>
      </c>
      <c r="E6" s="1"/>
      <c r="F6" t="s">
        <v>19</v>
      </c>
    </row>
    <row r="7" spans="2:6" ht="17.25" x14ac:dyDescent="0.25">
      <c r="B7" s="15" t="s">
        <v>3</v>
      </c>
      <c r="D7" t="s">
        <v>20</v>
      </c>
      <c r="F7" t="s">
        <v>23</v>
      </c>
    </row>
    <row r="8" spans="2:6" ht="17.25" x14ac:dyDescent="0.25">
      <c r="B8" s="15" t="s">
        <v>11</v>
      </c>
      <c r="D8" t="s">
        <v>16</v>
      </c>
      <c r="F8" t="s">
        <v>17</v>
      </c>
    </row>
    <row r="9" spans="2:6" ht="17.25" x14ac:dyDescent="0.25">
      <c r="B9" s="15" t="s">
        <v>10</v>
      </c>
      <c r="D9" t="s">
        <v>21</v>
      </c>
      <c r="F9" t="s">
        <v>22</v>
      </c>
    </row>
    <row r="10" spans="2:6" ht="17.25" x14ac:dyDescent="0.25">
      <c r="B10" s="15" t="s">
        <v>12</v>
      </c>
      <c r="D10" t="s">
        <v>39</v>
      </c>
      <c r="F10" t="s">
        <v>18</v>
      </c>
    </row>
    <row r="11" spans="2:6" ht="17.25" x14ac:dyDescent="0.25">
      <c r="B11" s="15" t="s">
        <v>13</v>
      </c>
      <c r="D11" s="4" t="s">
        <v>40</v>
      </c>
      <c r="F11" t="s">
        <v>38</v>
      </c>
    </row>
    <row r="12" spans="2:6" x14ac:dyDescent="0.25">
      <c r="B12" s="16" t="s">
        <v>34</v>
      </c>
      <c r="D12" t="s">
        <v>35</v>
      </c>
      <c r="F12" t="s">
        <v>36</v>
      </c>
    </row>
    <row r="15" spans="2:6" x14ac:dyDescent="0.25">
      <c r="B15" t="s">
        <v>87</v>
      </c>
      <c r="D15" s="1" t="s">
        <v>88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B2:T39"/>
  <sheetViews>
    <sheetView topLeftCell="A12" workbookViewId="0">
      <selection activeCell="J7" sqref="J7"/>
    </sheetView>
  </sheetViews>
  <sheetFormatPr defaultRowHeight="15" x14ac:dyDescent="0.25"/>
  <cols>
    <col min="10" max="10" width="12.28515625" customWidth="1"/>
    <col min="16" max="20" width="10.7109375" customWidth="1"/>
  </cols>
  <sheetData>
    <row r="2" spans="2:20" x14ac:dyDescent="0.25">
      <c r="B2" s="5"/>
      <c r="C2" s="7"/>
      <c r="D2" s="7"/>
      <c r="E2" s="7"/>
      <c r="F2" s="7"/>
      <c r="G2" s="7"/>
      <c r="H2" s="7"/>
      <c r="I2" s="7"/>
      <c r="J2" s="7"/>
      <c r="K2" s="7"/>
      <c r="L2" s="5"/>
      <c r="M2" s="5"/>
      <c r="N2" s="8"/>
      <c r="O2" s="7"/>
      <c r="P2" s="5"/>
      <c r="Q2" s="5"/>
      <c r="R2" s="5"/>
      <c r="S2" s="5"/>
      <c r="T2" s="5"/>
    </row>
    <row r="3" spans="2:20" x14ac:dyDescent="0.25">
      <c r="B3" s="5"/>
      <c r="C3" s="5"/>
      <c r="D3" s="5"/>
      <c r="E3" s="5"/>
      <c r="F3" s="5"/>
      <c r="G3" s="5"/>
      <c r="H3" s="5"/>
      <c r="I3" s="5"/>
      <c r="J3" s="5"/>
      <c r="K3" s="7"/>
      <c r="L3" s="5" t="s">
        <v>68</v>
      </c>
      <c r="M3" s="13"/>
      <c r="N3" s="8"/>
      <c r="O3" s="7"/>
      <c r="P3" s="5"/>
      <c r="Q3" s="5"/>
      <c r="R3" s="5"/>
      <c r="S3" s="5"/>
      <c r="T3" s="5"/>
    </row>
    <row r="4" spans="2:20" ht="15.75" thickBot="1" x14ac:dyDescent="0.3">
      <c r="B4" s="8"/>
      <c r="K4" s="5"/>
      <c r="L4" s="150" t="str">
        <f>Kaavat!B4</f>
        <v>KSO-100</v>
      </c>
      <c r="M4" s="150" t="str">
        <f>Kaavat!B5</f>
        <v>KSO-125</v>
      </c>
      <c r="N4" s="150" t="str">
        <f>Kaavat!B6</f>
        <v>KTS-100</v>
      </c>
      <c r="O4" s="150" t="str">
        <f>Kaavat!B7</f>
        <v>KTS-125</v>
      </c>
      <c r="P4" s="151" t="str">
        <f>Kaavat!B8</f>
        <v>KTS-100 (suuntaava)</v>
      </c>
      <c r="Q4" s="151" t="str">
        <f>Kaavat!B9</f>
        <v>KTS-125 (suuntaava)</v>
      </c>
      <c r="R4" s="151" t="str">
        <f>Kaavat!B10</f>
        <v>KTS-100 (s &gt;06.2006)</v>
      </c>
      <c r="S4" s="151" t="str">
        <f>Kaavat!B11</f>
        <v>KTS-125 (s &gt;06.2006)</v>
      </c>
      <c r="T4" s="151" t="str">
        <f>Kaavat!B12</f>
        <v>STQA-100/125</v>
      </c>
    </row>
    <row r="5" spans="2:20" x14ac:dyDescent="0.25">
      <c r="B5" s="146" t="s">
        <v>64</v>
      </c>
      <c r="C5" s="147"/>
      <c r="D5" s="146" t="s">
        <v>65</v>
      </c>
      <c r="E5" s="147"/>
      <c r="F5" s="146" t="s">
        <v>66</v>
      </c>
      <c r="G5" s="147"/>
      <c r="H5" s="146" t="s">
        <v>67</v>
      </c>
      <c r="I5" s="147"/>
      <c r="J5" s="148" t="s">
        <v>91</v>
      </c>
      <c r="L5" s="150"/>
      <c r="M5" s="150"/>
      <c r="N5" s="150"/>
      <c r="O5" s="150"/>
      <c r="P5" s="151"/>
      <c r="Q5" s="151"/>
      <c r="R5" s="151"/>
      <c r="S5" s="151"/>
      <c r="T5" s="151"/>
    </row>
    <row r="6" spans="2:20" x14ac:dyDescent="0.25">
      <c r="B6" s="20" t="s">
        <v>31</v>
      </c>
      <c r="C6" s="21" t="s">
        <v>32</v>
      </c>
      <c r="D6" s="20" t="s">
        <v>31</v>
      </c>
      <c r="E6" s="21" t="s">
        <v>32</v>
      </c>
      <c r="F6" s="20" t="s">
        <v>31</v>
      </c>
      <c r="G6" s="21" t="s">
        <v>32</v>
      </c>
      <c r="H6" s="20" t="s">
        <v>31</v>
      </c>
      <c r="I6" s="21" t="s">
        <v>32</v>
      </c>
      <c r="J6" s="149"/>
      <c r="L6" s="11">
        <f>(0.0906*Ilmanvaihtolaskelma!F7 + 1.8782)*SQRT(Ilmanvaihtolaskelma!G7)</f>
        <v>5.9307999999999996</v>
      </c>
      <c r="M6" s="11">
        <f>(0.0006*Ilmanvaihtolaskelma!F7*Ilmanvaihtolaskelma!F7+0.124*Ilmanvaihtolaskelma!F7+2.6914)*SQRT(Ilmanvaihtolaskelma!G7)</f>
        <v>8.5315999999999992</v>
      </c>
      <c r="N6" s="11">
        <f>(0.3997*Ilmanvaihtolaskelma!F7 + 0.3421)*SQRT(Ilmanvaihtolaskelma!G7)</f>
        <v>10.277000000000001</v>
      </c>
      <c r="O6" s="11">
        <f>(0.006*Ilmanvaihtolaskelma!F7^2 + 0.3161*Ilmanvaihtolaskelma!F7 + 0.8944)*SQRT(Ilmanvaihtolaskelma!G7)</f>
        <v>11.103199999999999</v>
      </c>
      <c r="P6" s="11">
        <f>( -0.004*Ilmanvaihtolaskelma!F7^2 + 0.2431*Ilmanvaihtolaskelma!F7 + 0.5081)*SQRT(Ilmanvaihtolaskelma!G7)</f>
        <v>5.6986000000000008</v>
      </c>
      <c r="Q6" s="11">
        <f>(-0.0058*Ilmanvaihtolaskelma!F7^2 + 0.3221*Ilmanvaihtolaskelma!F7 + 0.835)*SQRT(Ilmanvaihtolaskelma!G7)</f>
        <v>7.7299999999999995</v>
      </c>
      <c r="R6" s="11">
        <f>( -0.01222*Ilmanvaihtolaskelma!F7^2 + 0.4069*Ilmanvaihtolaskelma!F7 + 0.2263)*SQRT(Ilmanvaihtolaskelma!G7)</f>
        <v>6.6988399999999997</v>
      </c>
      <c r="S6" s="11">
        <f>(-0.0134*Ilmanvaihtolaskelma!F7^2 + 0.4836*Ilmanvaihtolaskelma!F7 + 0.1744)*SQRT(Ilmanvaihtolaskelma!G7)</f>
        <v>8.0960000000000001</v>
      </c>
      <c r="T6" s="11">
        <f>0.3*Ilmanvaihtolaskelma!F7*SQRT(Ilmanvaihtolaskelma!G7)</f>
        <v>7.1999999999999993</v>
      </c>
    </row>
    <row r="7" spans="2:20" x14ac:dyDescent="0.25">
      <c r="B7" s="24">
        <f>IF(OR(Ilmanvaihtolaskelma!D7="KSO-100",Ilmanvaihtolaskelma!D7="KSO-125",Ilmanvaihtolaskelma!D7=""),"",1)</f>
        <v>1</v>
      </c>
      <c r="C7" s="25" t="str">
        <f>IF(OR(Ilmanvaihtolaskelma!D7="KSO-100",Ilmanvaihtolaskelma!D7="KSO-125"),1,"")</f>
        <v/>
      </c>
      <c r="D7" s="26">
        <f>IF(OR(Ilmanvaihtolaskelma!D7="KSO-100",Ilmanvaihtolaskelma!D7="KSO-125",Ilmanvaihtolaskelma!D7=""),"",Ilmanvaihtolaskelma!H7)</f>
        <v>10.277000000000001</v>
      </c>
      <c r="E7" s="23" t="str">
        <f>IF(OR(Ilmanvaihtolaskelma!D7="KSO-100",Ilmanvaihtolaskelma!D7="KSO-125"),Ilmanvaihtolaskelma!H7,"")</f>
        <v/>
      </c>
      <c r="F7" s="27">
        <f>IF(AND(Ilmanvaihtolaskelma!I7&lt;&gt;"",B7=1),1,"")</f>
        <v>1</v>
      </c>
      <c r="G7" s="28" t="str">
        <f>IF(AND(Ilmanvaihtolaskelma!I7&lt;&gt;"",C7=1),1,"")</f>
        <v/>
      </c>
      <c r="H7" s="22">
        <f>IF(F7=1,Ilmanvaihtolaskelma!I7,"")</f>
        <v>10</v>
      </c>
      <c r="I7" s="23" t="str">
        <f>IF(AND(G7=1,C7=1),Ilmanvaihtolaskelma!I7,"")</f>
        <v/>
      </c>
      <c r="J7" s="91">
        <f>IF(AND(Ilmanvaihtolaskelma!F7&lt;&gt;"",Ilmanvaihtolaskelma!G7&lt;&gt;""),IF(Ilmanvaihtolaskelma!D7=Laskut!$L$4,Laskut!L6,IF(Ilmanvaihtolaskelma!D7=Laskut!$M$4,Laskut!M6,IF(Ilmanvaihtolaskelma!D7=Laskut!$N$4,Laskut!N6,IF(Ilmanvaihtolaskelma!D7=Laskut!$O$4,Laskut!O6,IF(Ilmanvaihtolaskelma!D7=Laskut!$P$4,Laskut!P6,IF(Ilmanvaihtolaskelma!D7=Laskut!$Q$4,Laskut!Q6,IF(Ilmanvaihtolaskelma!D7=Laskut!$R$4,Laskut!R6,IF(Ilmanvaihtolaskelma!D7=Laskut!$S$4,Laskut!S6,IF(Ilmanvaihtolaskelma!D7=Laskut!$T$4,Laskut!T6,""))))))))),"")</f>
        <v>10.277000000000001</v>
      </c>
      <c r="L7" s="11">
        <f>(0.0906*Ilmanvaihtolaskelma!F8 + 1.8782)*SQRT(Ilmanvaihtolaskelma!G8)</f>
        <v>5.9307999999999996</v>
      </c>
      <c r="M7" s="11">
        <f>(0.0006*Ilmanvaihtolaskelma!F8*Ilmanvaihtolaskelma!F8+0.124*Ilmanvaihtolaskelma!F8+2.6914)*SQRT(Ilmanvaihtolaskelma!G8)</f>
        <v>8.5315999999999992</v>
      </c>
      <c r="N7" s="11">
        <f>(0.3997*Ilmanvaihtolaskelma!F8 + 0.3421)*SQRT(Ilmanvaihtolaskelma!G8)</f>
        <v>10.277000000000001</v>
      </c>
      <c r="O7" s="11">
        <f>(0.006*Ilmanvaihtolaskelma!F8^2 + 0.3161*Ilmanvaihtolaskelma!F8 + 0.8944)*SQRT(Ilmanvaihtolaskelma!G8)</f>
        <v>11.103199999999999</v>
      </c>
      <c r="P7" s="11">
        <f>( -0.004*Ilmanvaihtolaskelma!F8^2 + 0.2431*Ilmanvaihtolaskelma!F8 + 0.5081)*SQRT(Ilmanvaihtolaskelma!G8)</f>
        <v>5.6986000000000008</v>
      </c>
      <c r="Q7" s="11">
        <f>(-0.0058*Ilmanvaihtolaskelma!F8^2 + 0.3221*Ilmanvaihtolaskelma!F8 + 0.835)*SQRT(Ilmanvaihtolaskelma!G8)</f>
        <v>7.7299999999999995</v>
      </c>
      <c r="R7" s="11">
        <f>( -0.01222*Ilmanvaihtolaskelma!F8^2 + 0.4069*Ilmanvaihtolaskelma!F8 + 0.2263)*SQRT(Ilmanvaihtolaskelma!G8)</f>
        <v>6.6988399999999997</v>
      </c>
      <c r="S7" s="11">
        <f>(-0.0134*Ilmanvaihtolaskelma!F8^2 + 0.4836*Ilmanvaihtolaskelma!F8 + 0.1744)*SQRT(Ilmanvaihtolaskelma!G8)</f>
        <v>8.0960000000000001</v>
      </c>
      <c r="T7" s="11">
        <f>0.3*Ilmanvaihtolaskelma!F8*SQRT(Ilmanvaihtolaskelma!G8)</f>
        <v>7.1999999999999993</v>
      </c>
    </row>
    <row r="8" spans="2:20" x14ac:dyDescent="0.25">
      <c r="B8" s="24">
        <f>IF(OR(Ilmanvaihtolaskelma!D8="KSO-100",Ilmanvaihtolaskelma!D8="KSO-125",Ilmanvaihtolaskelma!D8=""),"",1)</f>
        <v>1</v>
      </c>
      <c r="C8" s="25" t="str">
        <f>IF(OR(Ilmanvaihtolaskelma!D8="KSO-100",Ilmanvaihtolaskelma!D8="KSO-125"),1,"")</f>
        <v/>
      </c>
      <c r="D8" s="26">
        <f>IF(OR(Ilmanvaihtolaskelma!D8="KSO-100",Ilmanvaihtolaskelma!D8="KSO-125",Ilmanvaihtolaskelma!D8=""),"",Ilmanvaihtolaskelma!H8)</f>
        <v>10.277000000000001</v>
      </c>
      <c r="E8" s="23" t="str">
        <f>IF(OR(Ilmanvaihtolaskelma!D8="KSO-100",Ilmanvaihtolaskelma!D8="KSO-125"),Ilmanvaihtolaskelma!H8,"")</f>
        <v/>
      </c>
      <c r="F8" s="27">
        <f>IF(AND(Ilmanvaihtolaskelma!I8&lt;&gt;"",B8=1),1,"")</f>
        <v>1</v>
      </c>
      <c r="G8" s="28" t="str">
        <f>IF(AND(Ilmanvaihtolaskelma!I8&lt;&gt;"",C8=1),1,"")</f>
        <v/>
      </c>
      <c r="H8" s="22">
        <f>IF(F8=1,Ilmanvaihtolaskelma!I8,"")</f>
        <v>10</v>
      </c>
      <c r="I8" s="23" t="str">
        <f>IF(AND(G8=1,C8=1),Ilmanvaihtolaskelma!I8,"")</f>
        <v/>
      </c>
      <c r="J8" s="90">
        <f>IF(AND(Ilmanvaihtolaskelma!F8&lt;&gt;"",Ilmanvaihtolaskelma!G8&lt;&gt;""),IF(Ilmanvaihtolaskelma!D8=Laskut!$L$4,Laskut!L7,IF(Ilmanvaihtolaskelma!D8=Laskut!$M$4,Laskut!M7,IF(Ilmanvaihtolaskelma!D8=Laskut!$N$4,Laskut!N7,IF(Ilmanvaihtolaskelma!D8=Laskut!$O$4,Laskut!O7,IF(Ilmanvaihtolaskelma!D8=Laskut!$P$4,Laskut!P7,IF(Ilmanvaihtolaskelma!D8=Laskut!$Q$4,Laskut!Q7,IF(Ilmanvaihtolaskelma!D8=Laskut!$R$4,Laskut!R7,IF(Ilmanvaihtolaskelma!D8=Laskut!$S$4,Laskut!S7,IF(Ilmanvaihtolaskelma!D8=Laskut!$T$4,Laskut!T7,""))))))))),"")</f>
        <v>10.277000000000001</v>
      </c>
      <c r="L8" s="11">
        <f>(0.0906*Ilmanvaihtolaskelma!F9 + 1.8782)*SQRT(Ilmanvaihtolaskelma!G9)</f>
        <v>6.2200000000000006</v>
      </c>
      <c r="M8" s="11">
        <f>(0.0006*Ilmanvaihtolaskelma!F9*Ilmanvaihtolaskelma!F9+0.124*Ilmanvaihtolaskelma!F9+2.6914)*SQRT(Ilmanvaihtolaskelma!G9)</f>
        <v>9.2639999999999993</v>
      </c>
      <c r="N8" s="11">
        <f>(0.3997*Ilmanvaihtolaskelma!F9 + 0.3421)*SQRT(Ilmanvaihtolaskelma!G9)</f>
        <v>-12.279</v>
      </c>
      <c r="O8" s="11">
        <f>(0.006*Ilmanvaihtolaskelma!F9^2 + 0.3161*Ilmanvaihtolaskelma!F9 + 0.8944)*SQRT(Ilmanvaihtolaskelma!G9)</f>
        <v>-5.1214999999999993</v>
      </c>
      <c r="P8" s="11">
        <f>( -0.004*Ilmanvaihtolaskelma!F9^2 + 0.2431*Ilmanvaihtolaskelma!F9 + 0.5081)*SQRT(Ilmanvaihtolaskelma!G9)</f>
        <v>-6.9479999999999995</v>
      </c>
      <c r="Q8" s="11">
        <f>(-0.0058*Ilmanvaihtolaskelma!F9^2 + 0.3221*Ilmanvaihtolaskelma!F9 + 0.835)*SQRT(Ilmanvaihtolaskelma!G9)</f>
        <v>-8.5195000000000007</v>
      </c>
      <c r="R8" s="11">
        <f>( -0.01222*Ilmanvaihtolaskelma!F9^2 + 0.4069*Ilmanvaihtolaskelma!F9 + 0.2263)*SQRT(Ilmanvaihtolaskelma!G9)</f>
        <v>-16.103899999999999</v>
      </c>
      <c r="S8" s="11">
        <f>(-0.0134*Ilmanvaihtolaskelma!F9^2 + 0.4836*Ilmanvaihtolaskelma!F9 + 0.1744)*SQRT(Ilmanvaihtolaskelma!G9)</f>
        <v>-19.337000000000003</v>
      </c>
      <c r="T8" s="11">
        <f>0.3*Ilmanvaihtolaskelma!F9*SQRT(Ilmanvaihtolaskelma!G9)</f>
        <v>-10.5</v>
      </c>
    </row>
    <row r="9" spans="2:20" x14ac:dyDescent="0.25">
      <c r="B9" s="24" t="str">
        <f>IF(OR(Ilmanvaihtolaskelma!D9="KSO-100",Ilmanvaihtolaskelma!D9="KSO-125",Ilmanvaihtolaskelma!D9=""),"",1)</f>
        <v/>
      </c>
      <c r="C9" s="25">
        <f>IF(OR(Ilmanvaihtolaskelma!D9="KSO-100",Ilmanvaihtolaskelma!D9="KSO-125"),1,"")</f>
        <v>1</v>
      </c>
      <c r="D9" s="26" t="str">
        <f>IF(OR(Ilmanvaihtolaskelma!D9="KSO-100",Ilmanvaihtolaskelma!D9="KSO-125",Ilmanvaihtolaskelma!D9=""),"",Ilmanvaihtolaskelma!H9)</f>
        <v/>
      </c>
      <c r="E9" s="23">
        <f>IF(OR(Ilmanvaihtolaskelma!D9="KSO-100",Ilmanvaihtolaskelma!D9="KSO-125"),Ilmanvaihtolaskelma!H9,"")</f>
        <v>9.2639999999999993</v>
      </c>
      <c r="F9" s="27" t="str">
        <f>IF(AND(Ilmanvaihtolaskelma!I9&lt;&gt;"",B9=1),1,"")</f>
        <v/>
      </c>
      <c r="G9" s="28">
        <f>IF(AND(Ilmanvaihtolaskelma!I9&lt;&gt;"",C9=1),1,"")</f>
        <v>1</v>
      </c>
      <c r="H9" s="22" t="str">
        <f>IF(F9=1,Ilmanvaihtolaskelma!I9,"")</f>
        <v/>
      </c>
      <c r="I9" s="23">
        <f>IF(AND(G9=1,C9=1),Ilmanvaihtolaskelma!I9,"")</f>
        <v>10</v>
      </c>
      <c r="J9" s="90">
        <f>IF(AND(Ilmanvaihtolaskelma!F9&lt;&gt;"",Ilmanvaihtolaskelma!G9&lt;&gt;""),IF(Ilmanvaihtolaskelma!D9=Laskut!$L$4,Laskut!L8,IF(Ilmanvaihtolaskelma!D9=Laskut!$M$4,Laskut!M8,IF(Ilmanvaihtolaskelma!D9=Laskut!$N$4,Laskut!N8,IF(Ilmanvaihtolaskelma!D9=Laskut!$O$4,Laskut!O8,IF(Ilmanvaihtolaskelma!D9=Laskut!$P$4,Laskut!P8,IF(Ilmanvaihtolaskelma!D9=Laskut!$Q$4,Laskut!Q8,IF(Ilmanvaihtolaskelma!D9=Laskut!$R$4,Laskut!R8,IF(Ilmanvaihtolaskelma!D9=Laskut!$S$4,Laskut!S8,IF(Ilmanvaihtolaskelma!D9=Laskut!$T$4,Laskut!T8,""))))))))),"")</f>
        <v>9.2639999999999993</v>
      </c>
      <c r="L9" s="11">
        <f>(0.0906*Ilmanvaihtolaskelma!F10 + 1.8782)*SQRT(Ilmanvaihtolaskelma!G10)</f>
        <v>6.3760218004646125</v>
      </c>
      <c r="M9" s="11">
        <f>(0.0006*Ilmanvaihtolaskelma!F10*Ilmanvaihtolaskelma!F10+0.124*Ilmanvaihtolaskelma!F10+2.6914)*SQRT(Ilmanvaihtolaskelma!G10)</f>
        <v>9.1165109246904308</v>
      </c>
      <c r="N9" s="11">
        <f>(0.3997*Ilmanvaihtolaskelma!F10 + 0.3421)*SQRT(Ilmanvaihtolaskelma!G10)</f>
        <v>8.6704588425296141</v>
      </c>
      <c r="O9" s="11">
        <f>(0.006*Ilmanvaihtolaskelma!F10^2 + 0.3161*Ilmanvaihtolaskelma!F10 + 0.8944)*SQRT(Ilmanvaihtolaskelma!G10)</f>
        <v>9.3256973487241144</v>
      </c>
      <c r="P9" s="11">
        <f>( -0.004*Ilmanvaihtolaskelma!F10^2 + 0.2431*Ilmanvaihtolaskelma!F10 + 0.5081)*SQRT(Ilmanvaihtolaskelma!G10)</f>
        <v>5.3812840159203645</v>
      </c>
      <c r="Q9" s="11">
        <f>(-0.0058*Ilmanvaihtolaskelma!F10^2 + 0.3221*Ilmanvaihtolaskelma!F10 + 0.835)*SQRT(Ilmanvaihtolaskelma!G10)</f>
        <v>7.447918511906531</v>
      </c>
      <c r="R9" s="11">
        <f>( -0.01222*Ilmanvaihtolaskelma!F10^2 + 0.4069*Ilmanvaihtolaskelma!F10 + 0.2263)*SQRT(Ilmanvaihtolaskelma!G10)</f>
        <v>6.6122016014637657</v>
      </c>
      <c r="S9" s="11">
        <f>(-0.0134*Ilmanvaihtolaskelma!F10^2 + 0.4836*Ilmanvaihtolaskelma!F10 + 0.1744)*SQRT(Ilmanvaihtolaskelma!G10)</f>
        <v>7.8030945246100902</v>
      </c>
      <c r="T9" s="11">
        <f>0.3*Ilmanvaihtolaskelma!F10*SQRT(Ilmanvaihtolaskelma!G10)</f>
        <v>5.8787753826796267</v>
      </c>
    </row>
    <row r="10" spans="2:20" x14ac:dyDescent="0.25">
      <c r="B10" s="24">
        <f>IF(OR(Ilmanvaihtolaskelma!D10="KSO-100",Ilmanvaihtolaskelma!D10="KSO-125",Ilmanvaihtolaskelma!D10=""),"",1)</f>
        <v>1</v>
      </c>
      <c r="C10" s="25" t="str">
        <f>IF(OR(Ilmanvaihtolaskelma!D10="KSO-100",Ilmanvaihtolaskelma!D10="KSO-125"),1,"")</f>
        <v/>
      </c>
      <c r="D10" s="26">
        <f>IF(OR(Ilmanvaihtolaskelma!D10="KSO-100",Ilmanvaihtolaskelma!D10="KSO-125",Ilmanvaihtolaskelma!D10=""),"",Ilmanvaihtolaskelma!H10)</f>
        <v>8.6704588425296141</v>
      </c>
      <c r="E10" s="23" t="str">
        <f>IF(OR(Ilmanvaihtolaskelma!D10="KSO-100",Ilmanvaihtolaskelma!D10="KSO-125"),Ilmanvaihtolaskelma!H10,"")</f>
        <v/>
      </c>
      <c r="F10" s="27">
        <f>IF(AND(Ilmanvaihtolaskelma!I10&lt;&gt;"",B10=1),1,"")</f>
        <v>1</v>
      </c>
      <c r="G10" s="28" t="str">
        <f>IF(AND(Ilmanvaihtolaskelma!I10&lt;&gt;"",C10=1),1,"")</f>
        <v/>
      </c>
      <c r="H10" s="22">
        <f>IF(F10=1,Ilmanvaihtolaskelma!I10,"")</f>
        <v>8</v>
      </c>
      <c r="I10" s="23" t="str">
        <f>IF(AND(G10=1,C10=1),Ilmanvaihtolaskelma!I10,"")</f>
        <v/>
      </c>
      <c r="J10" s="90">
        <f>IF(AND(Ilmanvaihtolaskelma!F10&lt;&gt;"",Ilmanvaihtolaskelma!G10&lt;&gt;""),IF(Ilmanvaihtolaskelma!D10=Laskut!$L$4,Laskut!L9,IF(Ilmanvaihtolaskelma!D10=Laskut!$M$4,Laskut!M9,IF(Ilmanvaihtolaskelma!D10=Laskut!$N$4,Laskut!N9,IF(Ilmanvaihtolaskelma!D10=Laskut!$O$4,Laskut!O9,IF(Ilmanvaihtolaskelma!D10=Laskut!$P$4,Laskut!P9,IF(Ilmanvaihtolaskelma!D10=Laskut!$Q$4,Laskut!Q9,IF(Ilmanvaihtolaskelma!D10=Laskut!$R$4,Laskut!R9,IF(Ilmanvaihtolaskelma!D10=Laskut!$S$4,Laskut!S9,IF(Ilmanvaihtolaskelma!D10=Laskut!$T$4,Laskut!T9,""))))))))),"")</f>
        <v>8.6704588425296141</v>
      </c>
      <c r="L10" s="11">
        <f>(0.0906*Ilmanvaihtolaskelma!F11 + 1.8782)*SQRT(Ilmanvaihtolaskelma!G11)</f>
        <v>6.6072190186189541</v>
      </c>
      <c r="M10" s="11">
        <f>(0.0006*Ilmanvaihtolaskelma!F11*Ilmanvaihtolaskelma!F11+0.124*Ilmanvaihtolaskelma!F11+2.6914)*SQRT(Ilmanvaihtolaskelma!G11)</f>
        <v>9.6113721705071846</v>
      </c>
      <c r="N10" s="11">
        <f>(0.3997*Ilmanvaihtolaskelma!F11 + 0.3421)*SQRT(Ilmanvaihtolaskelma!G11)</f>
        <v>-5.4778283023475645</v>
      </c>
      <c r="O10" s="11">
        <f>(0.006*Ilmanvaihtolaskelma!F11^2 + 0.3161*Ilmanvaihtolaskelma!F11 + 0.8944)*SQRT(Ilmanvaihtolaskelma!G11)</f>
        <v>-1.1943383105301444</v>
      </c>
      <c r="P10" s="11">
        <f>( -0.004*Ilmanvaihtolaskelma!F11^2 + 0.2431*Ilmanvaihtolaskelma!F11 + 0.5081)*SQRT(Ilmanvaihtolaskelma!G11)</f>
        <v>-2.3028063118725379</v>
      </c>
      <c r="Q10" s="11">
        <f>(-0.0058*Ilmanvaihtolaskelma!F11^2 + 0.3221*Ilmanvaihtolaskelma!F11 + 0.835)*SQRT(Ilmanvaihtolaskelma!G11)</f>
        <v>-2.3808306029619164</v>
      </c>
      <c r="R10" s="11">
        <f>( -0.01222*Ilmanvaihtolaskelma!F11^2 + 0.4069*Ilmanvaihtolaskelma!F11 + 0.2263)*SQRT(Ilmanvaihtolaskelma!G11)</f>
        <v>-6.9603770110246188</v>
      </c>
      <c r="S10" s="11">
        <f>(-0.0134*Ilmanvaihtolaskelma!F11^2 + 0.4836*Ilmanvaihtolaskelma!F11 + 0.1744)*SQRT(Ilmanvaihtolaskelma!G11)</f>
        <v>-8.6062100741267074</v>
      </c>
      <c r="T10" s="11">
        <f>0.3*Ilmanvaihtolaskelma!F11*SQRT(Ilmanvaihtolaskelma!G11)</f>
        <v>-5.2306787322488084</v>
      </c>
    </row>
    <row r="11" spans="2:20" x14ac:dyDescent="0.25">
      <c r="B11" s="24" t="str">
        <f>IF(OR(Ilmanvaihtolaskelma!D11="KSO-100",Ilmanvaihtolaskelma!D11="KSO-125",Ilmanvaihtolaskelma!D11=""),"",1)</f>
        <v/>
      </c>
      <c r="C11" s="25">
        <f>IF(OR(Ilmanvaihtolaskelma!D11="KSO-100",Ilmanvaihtolaskelma!D11="KSO-125"),1,"")</f>
        <v>1</v>
      </c>
      <c r="D11" s="26" t="str">
        <f>IF(OR(Ilmanvaihtolaskelma!D11="KSO-100",Ilmanvaihtolaskelma!D11="KSO-125",Ilmanvaihtolaskelma!D11=""),"",Ilmanvaihtolaskelma!H11)</f>
        <v/>
      </c>
      <c r="E11" s="23">
        <f>IF(OR(Ilmanvaihtolaskelma!D11="KSO-100",Ilmanvaihtolaskelma!D11="KSO-125"),Ilmanvaihtolaskelma!H11,"")</f>
        <v>9.6113721705071846</v>
      </c>
      <c r="F11" s="27" t="str">
        <f>IF(AND(Ilmanvaihtolaskelma!I11&lt;&gt;"",B11=1),1,"")</f>
        <v/>
      </c>
      <c r="G11" s="28">
        <f>IF(AND(Ilmanvaihtolaskelma!I11&lt;&gt;"",C11=1),1,"")</f>
        <v>1</v>
      </c>
      <c r="H11" s="22" t="str">
        <f>IF(F11=1,Ilmanvaihtolaskelma!I11,"")</f>
        <v/>
      </c>
      <c r="I11" s="23">
        <f>IF(AND(G11=1,C11=1),Ilmanvaihtolaskelma!I11,"")</f>
        <v>10</v>
      </c>
      <c r="J11" s="90">
        <f>IF(AND(Ilmanvaihtolaskelma!F11&lt;&gt;"",Ilmanvaihtolaskelma!G11&lt;&gt;""),IF(Ilmanvaihtolaskelma!D11=Laskut!$L$4,Laskut!L10,IF(Ilmanvaihtolaskelma!D11=Laskut!$M$4,Laskut!M10,IF(Ilmanvaihtolaskelma!D11=Laskut!$N$4,Laskut!N10,IF(Ilmanvaihtolaskelma!D11=Laskut!$O$4,Laskut!O10,IF(Ilmanvaihtolaskelma!D11=Laskut!$P$4,Laskut!P10,IF(Ilmanvaihtolaskelma!D11=Laskut!$Q$4,Laskut!Q10,IF(Ilmanvaihtolaskelma!D11=Laskut!$R$4,Laskut!R10,IF(Ilmanvaihtolaskelma!D11=Laskut!$S$4,Laskut!S10,IF(Ilmanvaihtolaskelma!D11=Laskut!$T$4,Laskut!T10,""))))))))),"")</f>
        <v>9.6113721705071846</v>
      </c>
      <c r="L11" s="11">
        <f>(0.0906*Ilmanvaihtolaskelma!F12 + 1.8782)*SQRT(Ilmanvaihtolaskelma!G12)</f>
        <v>5.8204849454319536</v>
      </c>
      <c r="M11" s="11">
        <f>(0.0006*Ilmanvaihtolaskelma!F12*Ilmanvaihtolaskelma!F12+0.124*Ilmanvaihtolaskelma!F12+2.6914)*SQRT(Ilmanvaihtolaskelma!G12)</f>
        <v>8.322197798658717</v>
      </c>
      <c r="N11" s="11">
        <f>(0.3997*Ilmanvaihtolaskelma!F12 + 0.3421)*SQRT(Ilmanvaihtolaskelma!G12)</f>
        <v>7.9150098199560057</v>
      </c>
      <c r="O11" s="11">
        <f>(0.006*Ilmanvaihtolaskelma!F12^2 + 0.3161*Ilmanvaihtolaskelma!F12 + 0.8944)*SQRT(Ilmanvaihtolaskelma!G12)</f>
        <v>8.5131580039371997</v>
      </c>
      <c r="P11" s="11">
        <f>( -0.004*Ilmanvaihtolaskelma!F12^2 + 0.2431*Ilmanvaihtolaskelma!F12 + 0.5081)*SQRT(Ilmanvaihtolaskelma!G12)</f>
        <v>4.912417739769289</v>
      </c>
      <c r="Q11" s="11">
        <f>(-0.0058*Ilmanvaihtolaskelma!F12^2 + 0.3221*Ilmanvaihtolaskelma!F12 + 0.835)*SQRT(Ilmanvaihtolaskelma!G12)</f>
        <v>6.7989882923858609</v>
      </c>
      <c r="R11" s="11">
        <f>( -0.01222*Ilmanvaihtolaskelma!F12^2 + 0.4069*Ilmanvaihtolaskelma!F12 + 0.2263)*SQRT(Ilmanvaihtolaskelma!G12)</f>
        <v>6.0360866198224823</v>
      </c>
      <c r="S11" s="11">
        <f>(-0.0134*Ilmanvaihtolaskelma!F12^2 + 0.4836*Ilmanvaihtolaskelma!F12 + 0.1744)*SQRT(Ilmanvaihtolaskelma!G12)</f>
        <v>7.1232181491233293</v>
      </c>
      <c r="T11" s="11">
        <f>0.3*Ilmanvaihtolaskelma!F12*SQRT(Ilmanvaihtolaskelma!G12)</f>
        <v>5.3665631459994954</v>
      </c>
    </row>
    <row r="12" spans="2:20" x14ac:dyDescent="0.25">
      <c r="B12" s="24">
        <f>IF(OR(Ilmanvaihtolaskelma!D12="KSO-100",Ilmanvaihtolaskelma!D12="KSO-125",Ilmanvaihtolaskelma!D12=""),"",1)</f>
        <v>1</v>
      </c>
      <c r="C12" s="25" t="str">
        <f>IF(OR(Ilmanvaihtolaskelma!D12="KSO-100",Ilmanvaihtolaskelma!D12="KSO-125"),1,"")</f>
        <v/>
      </c>
      <c r="D12" s="26">
        <f>IF(OR(Ilmanvaihtolaskelma!D12="KSO-100",Ilmanvaihtolaskelma!D12="KSO-125",Ilmanvaihtolaskelma!D12=""),"",Ilmanvaihtolaskelma!H12)</f>
        <v>7.9150098199560057</v>
      </c>
      <c r="E12" s="23" t="str">
        <f>IF(OR(Ilmanvaihtolaskelma!D12="KSO-100",Ilmanvaihtolaskelma!D12="KSO-125"),Ilmanvaihtolaskelma!H12,"")</f>
        <v/>
      </c>
      <c r="F12" s="27">
        <f>IF(AND(Ilmanvaihtolaskelma!I12&lt;&gt;"",B12=1),1,"")</f>
        <v>1</v>
      </c>
      <c r="G12" s="28" t="str">
        <f>IF(AND(Ilmanvaihtolaskelma!I12&lt;&gt;"",C12=1),1,"")</f>
        <v/>
      </c>
      <c r="H12" s="22">
        <f>IF(F12=1,Ilmanvaihtolaskelma!I12,"")</f>
        <v>8</v>
      </c>
      <c r="I12" s="23" t="str">
        <f>IF(AND(G12=1,C12=1),Ilmanvaihtolaskelma!I12,"")</f>
        <v/>
      </c>
      <c r="J12" s="90">
        <f>IF(AND(Ilmanvaihtolaskelma!F12&lt;&gt;"",Ilmanvaihtolaskelma!G12&lt;&gt;""),IF(Ilmanvaihtolaskelma!D12=Laskut!$L$4,Laskut!L11,IF(Ilmanvaihtolaskelma!D12=Laskut!$M$4,Laskut!M11,IF(Ilmanvaihtolaskelma!D12=Laskut!$N$4,Laskut!N11,IF(Ilmanvaihtolaskelma!D12=Laskut!$O$4,Laskut!O11,IF(Ilmanvaihtolaskelma!D12=Laskut!$P$4,Laskut!P11,IF(Ilmanvaihtolaskelma!D12=Laskut!$Q$4,Laskut!Q11,IF(Ilmanvaihtolaskelma!D12=Laskut!$R$4,Laskut!R11,IF(Ilmanvaihtolaskelma!D12=Laskut!$S$4,Laskut!S11,IF(Ilmanvaihtolaskelma!D12=Laskut!$T$4,Laskut!T11,""))))))))),"")</f>
        <v>7.9150098199560057</v>
      </c>
      <c r="L12" s="11">
        <f>(0.0906*Ilmanvaihtolaskelma!F13 + 1.8782)*SQRT(Ilmanvaihtolaskelma!G13)</f>
        <v>5.8204849454319536</v>
      </c>
      <c r="M12" s="11">
        <f>(0.0006*Ilmanvaihtolaskelma!F13*Ilmanvaihtolaskelma!F13+0.124*Ilmanvaihtolaskelma!F13+2.6914)*SQRT(Ilmanvaihtolaskelma!G13)</f>
        <v>8.322197798658717</v>
      </c>
      <c r="N12" s="11">
        <f>(0.3997*Ilmanvaihtolaskelma!F13 + 0.3421)*SQRT(Ilmanvaihtolaskelma!G13)</f>
        <v>7.9150098199560057</v>
      </c>
      <c r="O12" s="11">
        <f>(0.006*Ilmanvaihtolaskelma!F13^2 + 0.3161*Ilmanvaihtolaskelma!F13 + 0.8944)*SQRT(Ilmanvaihtolaskelma!G13)</f>
        <v>8.5131580039371997</v>
      </c>
      <c r="P12" s="11">
        <f>( -0.004*Ilmanvaihtolaskelma!F13^2 + 0.2431*Ilmanvaihtolaskelma!F13 + 0.5081)*SQRT(Ilmanvaihtolaskelma!G13)</f>
        <v>4.912417739769289</v>
      </c>
      <c r="Q12" s="11">
        <f>(-0.0058*Ilmanvaihtolaskelma!F13^2 + 0.3221*Ilmanvaihtolaskelma!F13 + 0.835)*SQRT(Ilmanvaihtolaskelma!G13)</f>
        <v>6.7989882923858609</v>
      </c>
      <c r="R12" s="11">
        <f>( -0.01222*Ilmanvaihtolaskelma!F13^2 + 0.4069*Ilmanvaihtolaskelma!F13 + 0.2263)*SQRT(Ilmanvaihtolaskelma!G13)</f>
        <v>6.0360866198224823</v>
      </c>
      <c r="S12" s="11">
        <f>(-0.0134*Ilmanvaihtolaskelma!F13^2 + 0.4836*Ilmanvaihtolaskelma!F13 + 0.1744)*SQRT(Ilmanvaihtolaskelma!G13)</f>
        <v>7.1232181491233293</v>
      </c>
      <c r="T12" s="11">
        <f>0.3*Ilmanvaihtolaskelma!F13*SQRT(Ilmanvaihtolaskelma!G13)</f>
        <v>5.3665631459994954</v>
      </c>
    </row>
    <row r="13" spans="2:20" x14ac:dyDescent="0.25">
      <c r="B13" s="24">
        <f>IF(OR(Ilmanvaihtolaskelma!D13="KSO-100",Ilmanvaihtolaskelma!D13="KSO-125",Ilmanvaihtolaskelma!D13=""),"",1)</f>
        <v>1</v>
      </c>
      <c r="C13" s="25" t="str">
        <f>IF(OR(Ilmanvaihtolaskelma!D13="KSO-100",Ilmanvaihtolaskelma!D13="KSO-125"),1,"")</f>
        <v/>
      </c>
      <c r="D13" s="26">
        <f>IF(OR(Ilmanvaihtolaskelma!D13="KSO-100",Ilmanvaihtolaskelma!D13="KSO-125",Ilmanvaihtolaskelma!D13=""),"",Ilmanvaihtolaskelma!H13)</f>
        <v>7.9150098199560057</v>
      </c>
      <c r="E13" s="23" t="str">
        <f>IF(OR(Ilmanvaihtolaskelma!D13="KSO-100",Ilmanvaihtolaskelma!D13="KSO-125"),Ilmanvaihtolaskelma!H13,"")</f>
        <v/>
      </c>
      <c r="F13" s="27">
        <f>IF(AND(Ilmanvaihtolaskelma!I13&lt;&gt;"",B13=1),1,"")</f>
        <v>1</v>
      </c>
      <c r="G13" s="28" t="str">
        <f>IF(AND(Ilmanvaihtolaskelma!I13&lt;&gt;"",C13=1),1,"")</f>
        <v/>
      </c>
      <c r="H13" s="22">
        <f>IF(F13=1,Ilmanvaihtolaskelma!I13,"")</f>
        <v>8</v>
      </c>
      <c r="I13" s="23" t="str">
        <f>IF(AND(G13=1,C13=1),Ilmanvaihtolaskelma!I13,"")</f>
        <v/>
      </c>
      <c r="J13" s="90">
        <f>IF(AND(Ilmanvaihtolaskelma!F13&lt;&gt;"",Ilmanvaihtolaskelma!G13&lt;&gt;""),IF(Ilmanvaihtolaskelma!D13=Laskut!$L$4,Laskut!L12,IF(Ilmanvaihtolaskelma!D13=Laskut!$M$4,Laskut!M12,IF(Ilmanvaihtolaskelma!D13=Laskut!$N$4,Laskut!N12,IF(Ilmanvaihtolaskelma!D13=Laskut!$O$4,Laskut!O12,IF(Ilmanvaihtolaskelma!D13=Laskut!$P$4,Laskut!P12,IF(Ilmanvaihtolaskelma!D13=Laskut!$Q$4,Laskut!Q12,IF(Ilmanvaihtolaskelma!D13=Laskut!$R$4,Laskut!R12,IF(Ilmanvaihtolaskelma!D13=Laskut!$S$4,Laskut!S12,IF(Ilmanvaihtolaskelma!D13=Laskut!$T$4,Laskut!T12,""))))))))),"")</f>
        <v>7.9150098199560057</v>
      </c>
      <c r="L13" s="11">
        <f>(0.0906*Ilmanvaihtolaskelma!F14 + 1.8782)*SQRT(Ilmanvaihtolaskelma!G14)</f>
        <v>6.630835980477876</v>
      </c>
      <c r="M13" s="11">
        <f>(0.0006*Ilmanvaihtolaskelma!F14*Ilmanvaihtolaskelma!F14+0.124*Ilmanvaihtolaskelma!F14+2.6914)*SQRT(Ilmanvaihtolaskelma!G14)</f>
        <v>9.5386187784186021</v>
      </c>
      <c r="N13" s="11">
        <f>(0.3997*Ilmanvaihtolaskelma!F14 + 0.3421)*SQRT(Ilmanvaihtolaskelma!G14)</f>
        <v>11.490035302382671</v>
      </c>
      <c r="O13" s="11">
        <f>(0.006*Ilmanvaihtolaskelma!F14^2 + 0.3161*Ilmanvaihtolaskelma!F14 + 0.8944)*SQRT(Ilmanvaihtolaskelma!G14)</f>
        <v>12.413754983887832</v>
      </c>
      <c r="P13" s="11">
        <f>( -0.004*Ilmanvaihtolaskelma!F14^2 + 0.2431*Ilmanvaihtolaskelma!F14 + 0.5081)*SQRT(Ilmanvaihtolaskelma!G14)</f>
        <v>6.3712284882901518</v>
      </c>
      <c r="Q13" s="11">
        <f>(-0.0058*Ilmanvaihtolaskelma!F14^2 + 0.3221*Ilmanvaihtolaskelma!F14 + 0.835)*SQRT(Ilmanvaihtolaskelma!G14)</f>
        <v>8.6424027330366879</v>
      </c>
      <c r="R13" s="11">
        <f>( -0.01222*Ilmanvaihtolaskelma!F14^2 + 0.4069*Ilmanvaihtolaskelma!F14 + 0.2263)*SQRT(Ilmanvaihtolaskelma!G14)</f>
        <v>7.4895308051973455</v>
      </c>
      <c r="S13" s="11">
        <f>(-0.0134*Ilmanvaihtolaskelma!F14^2 + 0.4836*Ilmanvaihtolaskelma!F14 + 0.1744)*SQRT(Ilmanvaihtolaskelma!G14)</f>
        <v>9.0516031729191493</v>
      </c>
      <c r="T13" s="11">
        <f>0.3*Ilmanvaihtolaskelma!F14*SQRT(Ilmanvaihtolaskelma!G14)</f>
        <v>8.0498447189992426</v>
      </c>
    </row>
    <row r="14" spans="2:20" x14ac:dyDescent="0.25">
      <c r="B14" s="24">
        <f>IF(OR(Ilmanvaihtolaskelma!D14="KSO-100",Ilmanvaihtolaskelma!D14="KSO-125",Ilmanvaihtolaskelma!D14=""),"",1)</f>
        <v>1</v>
      </c>
      <c r="C14" s="25" t="str">
        <f>IF(OR(Ilmanvaihtolaskelma!D14="KSO-100",Ilmanvaihtolaskelma!D14="KSO-125"),1,"")</f>
        <v/>
      </c>
      <c r="D14" s="26">
        <f>IF(OR(Ilmanvaihtolaskelma!D14="KSO-100",Ilmanvaihtolaskelma!D14="KSO-125",Ilmanvaihtolaskelma!D14=""),"",Ilmanvaihtolaskelma!H14)</f>
        <v>11.490035302382671</v>
      </c>
      <c r="E14" s="23" t="str">
        <f>IF(OR(Ilmanvaihtolaskelma!D14="KSO-100",Ilmanvaihtolaskelma!D14="KSO-125"),Ilmanvaihtolaskelma!H14,"")</f>
        <v/>
      </c>
      <c r="F14" s="27">
        <f>IF(AND(Ilmanvaihtolaskelma!I14&lt;&gt;"",B14=1),1,"")</f>
        <v>1</v>
      </c>
      <c r="G14" s="28" t="str">
        <f>IF(AND(Ilmanvaihtolaskelma!I14&lt;&gt;"",C14=1),1,"")</f>
        <v/>
      </c>
      <c r="H14" s="22">
        <f>IF(F14=1,Ilmanvaihtolaskelma!I14,"")</f>
        <v>12</v>
      </c>
      <c r="I14" s="23" t="str">
        <f>IF(AND(G14=1,C14=1),Ilmanvaihtolaskelma!I14,"")</f>
        <v/>
      </c>
      <c r="J14" s="90">
        <f>IF(AND(Ilmanvaihtolaskelma!F14&lt;&gt;"",Ilmanvaihtolaskelma!G14&lt;&gt;""),IF(Ilmanvaihtolaskelma!D14=Laskut!$L$4,Laskut!L13,IF(Ilmanvaihtolaskelma!D14=Laskut!$M$4,Laskut!M13,IF(Ilmanvaihtolaskelma!D14=Laskut!$N$4,Laskut!N13,IF(Ilmanvaihtolaskelma!D14=Laskut!$O$4,Laskut!O13,IF(Ilmanvaihtolaskelma!D14=Laskut!$P$4,Laskut!P13,IF(Ilmanvaihtolaskelma!D14=Laskut!$Q$4,Laskut!Q13,IF(Ilmanvaihtolaskelma!D14=Laskut!$R$4,Laskut!R13,IF(Ilmanvaihtolaskelma!D14=Laskut!$S$4,Laskut!S13,IF(Ilmanvaihtolaskelma!D14=Laskut!$T$4,Laskut!T13,""))))))))),"")</f>
        <v>11.490035302382671</v>
      </c>
      <c r="L14" s="11">
        <f>(0.0906*Ilmanvaihtolaskelma!F15 + 1.8782)*SQRT(Ilmanvaihtolaskelma!G15)</f>
        <v>8.6331743292951071</v>
      </c>
      <c r="M14" s="11">
        <f>(0.0006*Ilmanvaihtolaskelma!F15*Ilmanvaihtolaskelma!F15+0.124*Ilmanvaihtolaskelma!F15+2.6914)*SQRT(Ilmanvaihtolaskelma!G15)</f>
        <v>12.343814144744726</v>
      </c>
      <c r="N14" s="11">
        <f>(0.3997*Ilmanvaihtolaskelma!F15 + 0.3421)*SQRT(Ilmanvaihtolaskelma!G15)</f>
        <v>11.739856770421008</v>
      </c>
      <c r="O14" s="11">
        <f>(0.006*Ilmanvaihtolaskelma!F15^2 + 0.3161*Ilmanvaihtolaskelma!F15 + 0.8944)*SQRT(Ilmanvaihtolaskelma!G15)</f>
        <v>12.627053901841078</v>
      </c>
      <c r="P14" s="11">
        <f>( -0.004*Ilmanvaihtolaskelma!F15^2 + 0.2431*Ilmanvaihtolaskelma!F15 + 0.5081)*SQRT(Ilmanvaihtolaskelma!G15)</f>
        <v>7.2862930019317789</v>
      </c>
      <c r="Q14" s="11">
        <f>(-0.0058*Ilmanvaihtolaskelma!F15^2 + 0.3221*Ilmanvaihtolaskelma!F15 + 0.835)*SQRT(Ilmanvaihtolaskelma!G15)</f>
        <v>10.084529337554629</v>
      </c>
      <c r="R14" s="11">
        <f>( -0.01222*Ilmanvaihtolaskelma!F15^2 + 0.4069*Ilmanvaihtolaskelma!F15 + 0.2263)*SQRT(Ilmanvaihtolaskelma!G15)</f>
        <v>8.9529632915811739</v>
      </c>
      <c r="S14" s="11">
        <f>(-0.0134*Ilmanvaihtolaskelma!F15^2 + 0.4836*Ilmanvaihtolaskelma!F15 + 0.1744)*SQRT(Ilmanvaihtolaskelma!G15)</f>
        <v>10.56543993215616</v>
      </c>
      <c r="T14" s="11">
        <f>0.3*Ilmanvaihtolaskelma!F15*SQRT(Ilmanvaihtolaskelma!G15)</f>
        <v>7.9598994968529588</v>
      </c>
    </row>
    <row r="15" spans="2:20" x14ac:dyDescent="0.25">
      <c r="B15" s="24" t="str">
        <f>IF(OR(Ilmanvaihtolaskelma!D15="KSO-100",Ilmanvaihtolaskelma!D15="KSO-125",Ilmanvaihtolaskelma!D15=""),"",1)</f>
        <v/>
      </c>
      <c r="C15" s="25">
        <f>IF(OR(Ilmanvaihtolaskelma!D15="KSO-100",Ilmanvaihtolaskelma!D15="KSO-125"),1,"")</f>
        <v>1</v>
      </c>
      <c r="D15" s="26" t="str">
        <f>IF(OR(Ilmanvaihtolaskelma!D15="KSO-100",Ilmanvaihtolaskelma!D15="KSO-125",Ilmanvaihtolaskelma!D15=""),"",Ilmanvaihtolaskelma!H15)</f>
        <v/>
      </c>
      <c r="E15" s="23">
        <f>IF(OR(Ilmanvaihtolaskelma!D15="KSO-100",Ilmanvaihtolaskelma!D15="KSO-125"),Ilmanvaihtolaskelma!H15,"")</f>
        <v>12.343814144744726</v>
      </c>
      <c r="F15" s="27" t="str">
        <f>IF(AND(Ilmanvaihtolaskelma!I15&lt;&gt;"",B15=1),1,"")</f>
        <v/>
      </c>
      <c r="G15" s="28">
        <f>IF(AND(Ilmanvaihtolaskelma!I15&lt;&gt;"",C15=1),1,"")</f>
        <v>1</v>
      </c>
      <c r="H15" s="22" t="str">
        <f>IF(F15=1,Ilmanvaihtolaskelma!I15,"")</f>
        <v/>
      </c>
      <c r="I15" s="23">
        <f>IF(AND(G15=1,C15=1),Ilmanvaihtolaskelma!I15,"")</f>
        <v>12</v>
      </c>
      <c r="J15" s="90">
        <f>IF(AND(Ilmanvaihtolaskelma!F15&lt;&gt;"",Ilmanvaihtolaskelma!G15&lt;&gt;""),IF(Ilmanvaihtolaskelma!D15=Laskut!$L$4,Laskut!L14,IF(Ilmanvaihtolaskelma!D15=Laskut!$M$4,Laskut!M14,IF(Ilmanvaihtolaskelma!D15=Laskut!$N$4,Laskut!N14,IF(Ilmanvaihtolaskelma!D15=Laskut!$O$4,Laskut!O14,IF(Ilmanvaihtolaskelma!D15=Laskut!$P$4,Laskut!P14,IF(Ilmanvaihtolaskelma!D15=Laskut!$Q$4,Laskut!Q14,IF(Ilmanvaihtolaskelma!D15=Laskut!$R$4,Laskut!R14,IF(Ilmanvaihtolaskelma!D15=Laskut!$S$4,Laskut!S14,IF(Ilmanvaihtolaskelma!D15=Laskut!$T$4,Laskut!T14,""))))))))),"")</f>
        <v>12.343814144744726</v>
      </c>
      <c r="L15" s="11">
        <f>(0.0906*Ilmanvaihtolaskelma!F16 + 1.8782)*SQRT(Ilmanvaihtolaskelma!G16)</f>
        <v>7.7519352422475762</v>
      </c>
      <c r="M15" s="11">
        <f>(0.0006*Ilmanvaihtolaskelma!F16*Ilmanvaihtolaskelma!F16+0.124*Ilmanvaihtolaskelma!F16+2.6914)*SQRT(Ilmanvaihtolaskelma!G16)</f>
        <v>11.06471575414389</v>
      </c>
      <c r="N15" s="11">
        <f>(0.3997*Ilmanvaihtolaskelma!F16 + 0.3421)*SQRT(Ilmanvaihtolaskelma!G16)</f>
        <v>5.5568756257451009</v>
      </c>
      <c r="O15" s="11">
        <f>(0.006*Ilmanvaihtolaskelma!F16^2 + 0.3161*Ilmanvaihtolaskelma!F16 + 0.8944)*SQRT(Ilmanvaihtolaskelma!G16)</f>
        <v>6.8386491041725481</v>
      </c>
      <c r="P15" s="11">
        <f>( -0.004*Ilmanvaihtolaskelma!F16^2 + 0.2431*Ilmanvaihtolaskelma!F16 + 0.5081)*SQRT(Ilmanvaihtolaskelma!G16)</f>
        <v>4.3317093023424365</v>
      </c>
      <c r="Q15" s="11">
        <f>(-0.0058*Ilmanvaihtolaskelma!F16^2 + 0.3221*Ilmanvaihtolaskelma!F16 + 0.835)*SQRT(Ilmanvaihtolaskelma!G16)</f>
        <v>6.3064697359140629</v>
      </c>
      <c r="R15" s="11">
        <f>( -0.01222*Ilmanvaihtolaskelma!F16^2 + 0.4069*Ilmanvaihtolaskelma!F16 + 0.2263)*SQRT(Ilmanvaihtolaskelma!G16)</f>
        <v>4.8206941663208625</v>
      </c>
      <c r="S15" s="11">
        <f>(-0.0134*Ilmanvaihtolaskelma!F16^2 + 0.4836*Ilmanvaihtolaskelma!F16 + 0.1744)*SQRT(Ilmanvaihtolaskelma!G16)</f>
        <v>5.4249124490631182</v>
      </c>
      <c r="T15" s="11">
        <f>0.3*Ilmanvaihtolaskelma!F16*SQRT(Ilmanvaihtolaskelma!G16)</f>
        <v>3.2449961479175897</v>
      </c>
    </row>
    <row r="16" spans="2:20" x14ac:dyDescent="0.25">
      <c r="B16" s="24" t="str">
        <f>IF(OR(Ilmanvaihtolaskelma!D16="KSO-100",Ilmanvaihtolaskelma!D16="KSO-125",Ilmanvaihtolaskelma!D16=""),"",1)</f>
        <v/>
      </c>
      <c r="C16" s="25">
        <f>IF(OR(Ilmanvaihtolaskelma!D16="KSO-100",Ilmanvaihtolaskelma!D16="KSO-125"),1,"")</f>
        <v>1</v>
      </c>
      <c r="D16" s="26" t="str">
        <f>IF(OR(Ilmanvaihtolaskelma!D16="KSO-100",Ilmanvaihtolaskelma!D16="KSO-125",Ilmanvaihtolaskelma!D16=""),"",Ilmanvaihtolaskelma!H16)</f>
        <v/>
      </c>
      <c r="E16" s="23">
        <f>IF(OR(Ilmanvaihtolaskelma!D16="KSO-100",Ilmanvaihtolaskelma!D16="KSO-125"),Ilmanvaihtolaskelma!H16,"")</f>
        <v>7.7519352422475762</v>
      </c>
      <c r="F16" s="27" t="str">
        <f>IF(AND(Ilmanvaihtolaskelma!I16&lt;&gt;"",B16=1),1,"")</f>
        <v/>
      </c>
      <c r="G16" s="28">
        <f>IF(AND(Ilmanvaihtolaskelma!I16&lt;&gt;"",C16=1),1,"")</f>
        <v>1</v>
      </c>
      <c r="H16" s="22" t="str">
        <f>IF(F16=1,Ilmanvaihtolaskelma!I16,"")</f>
        <v/>
      </c>
      <c r="I16" s="23">
        <f>IF(AND(G16=1,C16=1),Ilmanvaihtolaskelma!I16,"")</f>
        <v>8</v>
      </c>
      <c r="J16" s="90">
        <f>IF(AND(Ilmanvaihtolaskelma!F16&lt;&gt;"",Ilmanvaihtolaskelma!G16&lt;&gt;""),IF(Ilmanvaihtolaskelma!D16=Laskut!$L$4,Laskut!L15,IF(Ilmanvaihtolaskelma!D16=Laskut!$M$4,Laskut!M15,IF(Ilmanvaihtolaskelma!D16=Laskut!$N$4,Laskut!N15,IF(Ilmanvaihtolaskelma!D16=Laskut!$O$4,Laskut!O15,IF(Ilmanvaihtolaskelma!D16=Laskut!$P$4,Laskut!P15,IF(Ilmanvaihtolaskelma!D16=Laskut!$Q$4,Laskut!Q15,IF(Ilmanvaihtolaskelma!D16=Laskut!$R$4,Laskut!R15,IF(Ilmanvaihtolaskelma!D16=Laskut!$S$4,Laskut!S15,IF(Ilmanvaihtolaskelma!D16=Laskut!$T$4,Laskut!T15,""))))))))),"")</f>
        <v>7.7519352422475762</v>
      </c>
      <c r="L16" s="11">
        <f>(0.0906*Ilmanvaihtolaskelma!F17 + 1.8782)*SQRT(Ilmanvaihtolaskelma!G17)</f>
        <v>9.6447517168665371</v>
      </c>
      <c r="M16" s="11">
        <f>(0.0006*Ilmanvaihtolaskelma!F17*Ilmanvaihtolaskelma!F17+0.124*Ilmanvaihtolaskelma!F17+2.6914)*SQRT(Ilmanvaihtolaskelma!G17)</f>
        <v>13.826615186660831</v>
      </c>
      <c r="N16" s="11">
        <f>(0.3997*Ilmanvaihtolaskelma!F17 + 0.3421)*SQRT(Ilmanvaihtolaskelma!G17)</f>
        <v>15.03108331824423</v>
      </c>
      <c r="O16" s="11">
        <f>(0.006*Ilmanvaihtolaskelma!F17^2 + 0.3161*Ilmanvaihtolaskelma!F17 + 0.8944)*SQRT(Ilmanvaihtolaskelma!G17)</f>
        <v>16.126778659112304</v>
      </c>
      <c r="P16" s="11">
        <f>( -0.004*Ilmanvaihtolaskelma!F17^2 + 0.2431*Ilmanvaihtolaskelma!F17 + 0.5081)*SQRT(Ilmanvaihtolaskelma!G17)</f>
        <v>8.7957004109962735</v>
      </c>
      <c r="Q16" s="11">
        <f>(-0.0058*Ilmanvaihtolaskelma!F17^2 + 0.3221*Ilmanvaihtolaskelma!F17 + 0.835)*SQRT(Ilmanvaihtolaskelma!G17)</f>
        <v>12.041217214218834</v>
      </c>
      <c r="R16" s="11">
        <f>( -0.01222*Ilmanvaihtolaskelma!F17^2 + 0.4069*Ilmanvaihtolaskelma!F17 + 0.2263)*SQRT(Ilmanvaihtolaskelma!G17)</f>
        <v>10.646223493802861</v>
      </c>
      <c r="S16" s="11">
        <f>(-0.0134*Ilmanvaihtolaskelma!F17^2 + 0.4836*Ilmanvaihtolaskelma!F17 + 0.1744)*SQRT(Ilmanvaihtolaskelma!G17)</f>
        <v>12.714638568201611</v>
      </c>
      <c r="T16" s="11">
        <f>0.3*Ilmanvaihtolaskelma!F17*SQRT(Ilmanvaihtolaskelma!G17)</f>
        <v>10.392304845413264</v>
      </c>
    </row>
    <row r="17" spans="2:20" x14ac:dyDescent="0.25">
      <c r="B17" s="24" t="str">
        <f>IF(OR(Ilmanvaihtolaskelma!D17="KSO-100",Ilmanvaihtolaskelma!D17="KSO-125",Ilmanvaihtolaskelma!D17=""),"",1)</f>
        <v/>
      </c>
      <c r="C17" s="25">
        <f>IF(OR(Ilmanvaihtolaskelma!D17="KSO-100",Ilmanvaihtolaskelma!D17="KSO-125"),1,"")</f>
        <v>1</v>
      </c>
      <c r="D17" s="26" t="str">
        <f>IF(OR(Ilmanvaihtolaskelma!D17="KSO-100",Ilmanvaihtolaskelma!D17="KSO-125",Ilmanvaihtolaskelma!D17=""),"",Ilmanvaihtolaskelma!H17)</f>
        <v/>
      </c>
      <c r="E17" s="23">
        <f>IF(OR(Ilmanvaihtolaskelma!D17="KSO-100",Ilmanvaihtolaskelma!D17="KSO-125"),Ilmanvaihtolaskelma!H17,"")</f>
        <v>13.826615186660831</v>
      </c>
      <c r="F17" s="27" t="str">
        <f>IF(AND(Ilmanvaihtolaskelma!I17&lt;&gt;"",B17=1),1,"")</f>
        <v/>
      </c>
      <c r="G17" s="28">
        <f>IF(AND(Ilmanvaihtolaskelma!I17&lt;&gt;"",C17=1),1,"")</f>
        <v>1</v>
      </c>
      <c r="H17" s="22" t="str">
        <f>IF(F17=1,Ilmanvaihtolaskelma!I17,"")</f>
        <v/>
      </c>
      <c r="I17" s="23">
        <f>IF(AND(G17=1,C17=1),Ilmanvaihtolaskelma!I17,"")</f>
        <v>15</v>
      </c>
      <c r="J17" s="90">
        <f>IF(AND(Ilmanvaihtolaskelma!F17&lt;&gt;"",Ilmanvaihtolaskelma!G17&lt;&gt;""),IF(Ilmanvaihtolaskelma!D17=Laskut!$L$4,Laskut!L16,IF(Ilmanvaihtolaskelma!D17=Laskut!$M$4,Laskut!M16,IF(Ilmanvaihtolaskelma!D17=Laskut!$N$4,Laskut!N16,IF(Ilmanvaihtolaskelma!D17=Laskut!$O$4,Laskut!O16,IF(Ilmanvaihtolaskelma!D17=Laskut!$P$4,Laskut!P16,IF(Ilmanvaihtolaskelma!D17=Laskut!$Q$4,Laskut!Q16,IF(Ilmanvaihtolaskelma!D17=Laskut!$R$4,Laskut!R16,IF(Ilmanvaihtolaskelma!D17=Laskut!$S$4,Laskut!S16,IF(Ilmanvaihtolaskelma!D17=Laskut!$T$4,Laskut!T16,""))))))))),"")</f>
        <v>13.826615186660831</v>
      </c>
      <c r="L17" s="11">
        <f>(0.0906*Ilmanvaihtolaskelma!F18 + 1.8782)*SQRT(Ilmanvaihtolaskelma!G18)</f>
        <v>5.0247999999999999</v>
      </c>
      <c r="M17" s="11">
        <f>(0.0006*Ilmanvaihtolaskelma!F18*Ilmanvaihtolaskelma!F18+0.124*Ilmanvaihtolaskelma!F18+2.6914)*SQRT(Ilmanvaihtolaskelma!G18)</f>
        <v>7.1776</v>
      </c>
      <c r="N17" s="11">
        <f>(0.3997*Ilmanvaihtolaskelma!F18 + 0.3421)*SQRT(Ilmanvaihtolaskelma!G18)</f>
        <v>6.2799999999999994</v>
      </c>
      <c r="O17" s="11">
        <f>(0.006*Ilmanvaihtolaskelma!F18^2 + 0.3161*Ilmanvaihtolaskelma!F18 + 0.8944)*SQRT(Ilmanvaihtolaskelma!G18)</f>
        <v>6.8022</v>
      </c>
      <c r="P17" s="11">
        <f>( -0.004*Ilmanvaihtolaskelma!F18^2 + 0.2431*Ilmanvaihtolaskelma!F18 + 0.5081)*SQRT(Ilmanvaihtolaskelma!G18)</f>
        <v>4.0275999999999996</v>
      </c>
      <c r="Q17" s="11">
        <f>(-0.0058*Ilmanvaihtolaskelma!F18^2 + 0.3221*Ilmanvaihtolaskelma!F18 + 0.835)*SQRT(Ilmanvaihtolaskelma!G18)</f>
        <v>5.6110000000000007</v>
      </c>
      <c r="R17" s="11">
        <f>( -0.01222*Ilmanvaihtolaskelma!F18^2 + 0.4069*Ilmanvaihtolaskelma!F18 + 0.2263)*SQRT(Ilmanvaihtolaskelma!G18)</f>
        <v>4.9516400000000003</v>
      </c>
      <c r="S17" s="11">
        <f>(-0.0134*Ilmanvaihtolaskelma!F18^2 + 0.4836*Ilmanvaihtolaskelma!F18 + 0.1744)*SQRT(Ilmanvaihtolaskelma!G18)</f>
        <v>5.8059999999999992</v>
      </c>
      <c r="T17" s="11">
        <f>0.3*Ilmanvaihtolaskelma!F18*SQRT(Ilmanvaihtolaskelma!G18)</f>
        <v>4.2</v>
      </c>
    </row>
    <row r="18" spans="2:20" x14ac:dyDescent="0.25">
      <c r="B18" s="24">
        <f>IF(OR(Ilmanvaihtolaskelma!D18="KSO-100",Ilmanvaihtolaskelma!D18="KSO-125",Ilmanvaihtolaskelma!D18=""),"",1)</f>
        <v>1</v>
      </c>
      <c r="C18" s="25" t="str">
        <f>IF(OR(Ilmanvaihtolaskelma!D18="KSO-100",Ilmanvaihtolaskelma!D18="KSO-125"),1,"")</f>
        <v/>
      </c>
      <c r="D18" s="26">
        <f>IF(OR(Ilmanvaihtolaskelma!D18="KSO-100",Ilmanvaihtolaskelma!D18="KSO-125",Ilmanvaihtolaskelma!D18=""),"",Ilmanvaihtolaskelma!H18)</f>
        <v>6.2799999999999994</v>
      </c>
      <c r="E18" s="23" t="str">
        <f>IF(OR(Ilmanvaihtolaskelma!D18="KSO-100",Ilmanvaihtolaskelma!D18="KSO-125"),Ilmanvaihtolaskelma!H18,"")</f>
        <v/>
      </c>
      <c r="F18" s="27">
        <f>IF(AND(Ilmanvaihtolaskelma!I18&lt;&gt;"",B18=1),1,"")</f>
        <v>1</v>
      </c>
      <c r="G18" s="28" t="str">
        <f>IF(AND(Ilmanvaihtolaskelma!I18&lt;&gt;"",C18=1),1,"")</f>
        <v/>
      </c>
      <c r="H18" s="22">
        <f>IF(F18=1,Ilmanvaihtolaskelma!I18,"")</f>
        <v>6</v>
      </c>
      <c r="I18" s="23" t="str">
        <f>IF(AND(G18=1,C18=1),Ilmanvaihtolaskelma!I18,"")</f>
        <v/>
      </c>
      <c r="J18" s="90">
        <f>IF(AND(Ilmanvaihtolaskelma!F18&lt;&gt;"",Ilmanvaihtolaskelma!G18&lt;&gt;""),IF(Ilmanvaihtolaskelma!D18=Laskut!$L$4,Laskut!L17,IF(Ilmanvaihtolaskelma!D18=Laskut!$M$4,Laskut!M17,IF(Ilmanvaihtolaskelma!D18=Laskut!$N$4,Laskut!N17,IF(Ilmanvaihtolaskelma!D18=Laskut!$O$4,Laskut!O17,IF(Ilmanvaihtolaskelma!D18=Laskut!$P$4,Laskut!P17,IF(Ilmanvaihtolaskelma!D18=Laskut!$Q$4,Laskut!Q17,IF(Ilmanvaihtolaskelma!D18=Laskut!$R$4,Laskut!R17,IF(Ilmanvaihtolaskelma!D18=Laskut!$S$4,Laskut!S17,IF(Ilmanvaihtolaskelma!D18=Laskut!$T$4,Laskut!T17,""))))))))),"")</f>
        <v>6.2799999999999994</v>
      </c>
      <c r="L18" s="11">
        <f>(0.0906*Ilmanvaihtolaskelma!F19 + 1.8782)*SQRT(Ilmanvaihtolaskelma!G19)</f>
        <v>5.0444791762876768</v>
      </c>
      <c r="M18" s="11">
        <f>(0.0006*Ilmanvaihtolaskelma!F19*Ilmanvaihtolaskelma!F19+0.124*Ilmanvaihtolaskelma!F19+2.6914)*SQRT(Ilmanvaihtolaskelma!G19)</f>
        <v>7.2059089253195525</v>
      </c>
      <c r="N18" s="11">
        <f>(0.3997*Ilmanvaihtolaskelma!F19 + 0.3421)*SQRT(Ilmanvaihtolaskelma!G19)</f>
        <v>2.7960925413869973</v>
      </c>
      <c r="O18" s="11">
        <f>(0.006*Ilmanvaihtolaskelma!F19^2 + 0.3161*Ilmanvaihtolaskelma!F19 + 0.8944)*SQRT(Ilmanvaihtolaskelma!G19)</f>
        <v>3.7981787951595956</v>
      </c>
      <c r="P18" s="11">
        <f>( -0.004*Ilmanvaihtolaskelma!F19^2 + 0.2431*Ilmanvaihtolaskelma!F19 + 0.5081)*SQRT(Ilmanvaihtolaskelma!G19)</f>
        <v>2.3963358153647829</v>
      </c>
      <c r="Q18" s="11">
        <f>(-0.0058*Ilmanvaihtolaskelma!F19^2 + 0.3221*Ilmanvaihtolaskelma!F19 + 0.835)*SQRT(Ilmanvaihtolaskelma!G19)</f>
        <v>3.5664570654923069</v>
      </c>
      <c r="R18" s="11">
        <f>( -0.01222*Ilmanvaihtolaskelma!F19^2 + 0.4069*Ilmanvaihtolaskelma!F19 + 0.2263)*SQRT(Ilmanvaihtolaskelma!G19)</f>
        <v>2.4279832228415414</v>
      </c>
      <c r="S18" s="11">
        <f>(-0.0134*Ilmanvaihtolaskelma!F19^2 + 0.4836*Ilmanvaihtolaskelma!F19 + 0.1744)*SQRT(Ilmanvaihtolaskelma!G19)</f>
        <v>2.6650448401480977</v>
      </c>
      <c r="T18" s="11">
        <f>0.3*Ilmanvaihtolaskelma!F19*SQRT(Ilmanvaihtolaskelma!G19)</f>
        <v>1.4696938456699067</v>
      </c>
    </row>
    <row r="19" spans="2:20" x14ac:dyDescent="0.25">
      <c r="B19" s="24" t="str">
        <f>IF(OR(Ilmanvaihtolaskelma!D19="KSO-100",Ilmanvaihtolaskelma!D19="KSO-125",Ilmanvaihtolaskelma!D19=""),"",1)</f>
        <v/>
      </c>
      <c r="C19" s="25">
        <f>IF(OR(Ilmanvaihtolaskelma!D19="KSO-100",Ilmanvaihtolaskelma!D19="KSO-125"),1,"")</f>
        <v>1</v>
      </c>
      <c r="D19" s="26" t="str">
        <f>IF(OR(Ilmanvaihtolaskelma!D19="KSO-100",Ilmanvaihtolaskelma!D19="KSO-125",Ilmanvaihtolaskelma!D19=""),"",Ilmanvaihtolaskelma!H19)</f>
        <v/>
      </c>
      <c r="E19" s="23">
        <f>IF(OR(Ilmanvaihtolaskelma!D19="KSO-100",Ilmanvaihtolaskelma!D19="KSO-125"),Ilmanvaihtolaskelma!H19,"")</f>
        <v>5.0444791762876768</v>
      </c>
      <c r="F19" s="27" t="str">
        <f>IF(AND(Ilmanvaihtolaskelma!I19&lt;&gt;"",B19=1),1,"")</f>
        <v/>
      </c>
      <c r="G19" s="28">
        <f>IF(AND(Ilmanvaihtolaskelma!I19&lt;&gt;"",C19=1),1,"")</f>
        <v>1</v>
      </c>
      <c r="H19" s="22" t="str">
        <f>IF(F19=1,Ilmanvaihtolaskelma!I19,"")</f>
        <v/>
      </c>
      <c r="I19" s="23">
        <f>IF(AND(G19=1,C19=1),Ilmanvaihtolaskelma!I19,"")</f>
        <v>5</v>
      </c>
      <c r="J19" s="90">
        <f>IF(AND(Ilmanvaihtolaskelma!F19&lt;&gt;"",Ilmanvaihtolaskelma!G19&lt;&gt;""),IF(Ilmanvaihtolaskelma!D19=Laskut!$L$4,Laskut!L18,IF(Ilmanvaihtolaskelma!D19=Laskut!$M$4,Laskut!M18,IF(Ilmanvaihtolaskelma!D19=Laskut!$N$4,Laskut!N18,IF(Ilmanvaihtolaskelma!D19=Laskut!$O$4,Laskut!O18,IF(Ilmanvaihtolaskelma!D19=Laskut!$P$4,Laskut!P18,IF(Ilmanvaihtolaskelma!D19=Laskut!$Q$4,Laskut!Q18,IF(Ilmanvaihtolaskelma!D19=Laskut!$R$4,Laskut!R18,IF(Ilmanvaihtolaskelma!D19=Laskut!$S$4,Laskut!S18,IF(Ilmanvaihtolaskelma!D19=Laskut!$T$4,Laskut!T18,""))))))))),"")</f>
        <v>5.0444791762876768</v>
      </c>
      <c r="L19" s="11">
        <f>(0.0906*Ilmanvaihtolaskelma!F20 + 1.8782)*SQRT(Ilmanvaihtolaskelma!G20)</f>
        <v>6.3760218004646125</v>
      </c>
      <c r="M19" s="11">
        <f>(0.0006*Ilmanvaihtolaskelma!F20*Ilmanvaihtolaskelma!F20+0.124*Ilmanvaihtolaskelma!F20+2.6914)*SQRT(Ilmanvaihtolaskelma!G20)</f>
        <v>9.1165109246904308</v>
      </c>
      <c r="N19" s="11">
        <f>(0.3997*Ilmanvaihtolaskelma!F20 + 0.3421)*SQRT(Ilmanvaihtolaskelma!G20)</f>
        <v>8.6704588425296141</v>
      </c>
      <c r="O19" s="11">
        <f>(0.006*Ilmanvaihtolaskelma!F20^2 + 0.3161*Ilmanvaihtolaskelma!F20 + 0.8944)*SQRT(Ilmanvaihtolaskelma!G20)</f>
        <v>9.3256973487241144</v>
      </c>
      <c r="P19" s="11">
        <f>( -0.004*Ilmanvaihtolaskelma!F20^2 + 0.2431*Ilmanvaihtolaskelma!F20 + 0.5081)*SQRT(Ilmanvaihtolaskelma!G20)</f>
        <v>5.3812840159203645</v>
      </c>
      <c r="Q19" s="11">
        <f>(-0.0058*Ilmanvaihtolaskelma!F20^2 + 0.3221*Ilmanvaihtolaskelma!F20 + 0.835)*SQRT(Ilmanvaihtolaskelma!G20)</f>
        <v>7.447918511906531</v>
      </c>
      <c r="R19" s="11">
        <f>( -0.01222*Ilmanvaihtolaskelma!F20^2 + 0.4069*Ilmanvaihtolaskelma!F20 + 0.2263)*SQRT(Ilmanvaihtolaskelma!G20)</f>
        <v>6.6122016014637657</v>
      </c>
      <c r="S19" s="11">
        <f>(-0.0134*Ilmanvaihtolaskelma!F20^2 + 0.4836*Ilmanvaihtolaskelma!F20 + 0.1744)*SQRT(Ilmanvaihtolaskelma!G20)</f>
        <v>7.8030945246100902</v>
      </c>
      <c r="T19" s="11">
        <f>0.3*Ilmanvaihtolaskelma!F20*SQRT(Ilmanvaihtolaskelma!G20)</f>
        <v>5.8787753826796267</v>
      </c>
    </row>
    <row r="20" spans="2:20" x14ac:dyDescent="0.25">
      <c r="B20" s="24" t="str">
        <f>IF(OR(Ilmanvaihtolaskelma!D20="KSO-100",Ilmanvaihtolaskelma!D20="KSO-125",Ilmanvaihtolaskelma!D20=""),"",1)</f>
        <v/>
      </c>
      <c r="C20" s="25">
        <f>IF(OR(Ilmanvaihtolaskelma!D20="KSO-100",Ilmanvaihtolaskelma!D20="KSO-125"),1,"")</f>
        <v>1</v>
      </c>
      <c r="D20" s="26" t="str">
        <f>IF(OR(Ilmanvaihtolaskelma!D20="KSO-100",Ilmanvaihtolaskelma!D20="KSO-125",Ilmanvaihtolaskelma!D20=""),"",Ilmanvaihtolaskelma!H20)</f>
        <v/>
      </c>
      <c r="E20" s="23">
        <f>IF(OR(Ilmanvaihtolaskelma!D20="KSO-100",Ilmanvaihtolaskelma!D20="KSO-125"),Ilmanvaihtolaskelma!H20,"")</f>
        <v>6.3760218004646125</v>
      </c>
      <c r="F20" s="27" t="str">
        <f>IF(AND(Ilmanvaihtolaskelma!I20&lt;&gt;"",B20=1),1,"")</f>
        <v/>
      </c>
      <c r="G20" s="28">
        <f>IF(AND(Ilmanvaihtolaskelma!I20&lt;&gt;"",C20=1),1,"")</f>
        <v>1</v>
      </c>
      <c r="H20" s="22" t="str">
        <f>IF(F20=1,Ilmanvaihtolaskelma!I20,"")</f>
        <v/>
      </c>
      <c r="I20" s="23">
        <f>IF(AND(G20=1,C20=1),Ilmanvaihtolaskelma!I20,"")</f>
        <v>5</v>
      </c>
      <c r="J20" s="90">
        <f>IF(AND(Ilmanvaihtolaskelma!F20&lt;&gt;"",Ilmanvaihtolaskelma!G20&lt;&gt;""),IF(Ilmanvaihtolaskelma!D20=Laskut!$L$4,Laskut!L19,IF(Ilmanvaihtolaskelma!D20=Laskut!$M$4,Laskut!M19,IF(Ilmanvaihtolaskelma!D20=Laskut!$N$4,Laskut!N19,IF(Ilmanvaihtolaskelma!D20=Laskut!$O$4,Laskut!O19,IF(Ilmanvaihtolaskelma!D20=Laskut!$P$4,Laskut!P19,IF(Ilmanvaihtolaskelma!D20=Laskut!$Q$4,Laskut!Q19,IF(Ilmanvaihtolaskelma!D20=Laskut!$R$4,Laskut!R19,IF(Ilmanvaihtolaskelma!D20=Laskut!$S$4,Laskut!S19,IF(Ilmanvaihtolaskelma!D20=Laskut!$T$4,Laskut!T19,""))))))))),"")</f>
        <v>6.3760218004646125</v>
      </c>
      <c r="L20" s="11">
        <f>(0.0906*Ilmanvaihtolaskelma!F21 + 1.8782)*SQRT(Ilmanvaihtolaskelma!G21)</f>
        <v>0</v>
      </c>
      <c r="M20" s="11">
        <f>(0.0006*Ilmanvaihtolaskelma!F21*Ilmanvaihtolaskelma!F21+0.124*Ilmanvaihtolaskelma!F21+2.6914)*SQRT(Ilmanvaihtolaskelma!G21)</f>
        <v>0</v>
      </c>
      <c r="N20" s="11">
        <f>(0.3997*Ilmanvaihtolaskelma!F21 + 0.3421)*SQRT(Ilmanvaihtolaskelma!G21)</f>
        <v>0</v>
      </c>
      <c r="O20" s="11">
        <f>(0.006*Ilmanvaihtolaskelma!F21^2 + 0.3161*Ilmanvaihtolaskelma!F21 + 0.8944)*SQRT(Ilmanvaihtolaskelma!G21)</f>
        <v>0</v>
      </c>
      <c r="P20" s="11">
        <f>( -0.004*Ilmanvaihtolaskelma!F21^2 + 0.2431*Ilmanvaihtolaskelma!F21 + 0.5081)*SQRT(Ilmanvaihtolaskelma!G21)</f>
        <v>0</v>
      </c>
      <c r="Q20" s="11">
        <f>(-0.0058*Ilmanvaihtolaskelma!F21^2 + 0.3221*Ilmanvaihtolaskelma!F21 + 0.835)*SQRT(Ilmanvaihtolaskelma!G21)</f>
        <v>0</v>
      </c>
      <c r="R20" s="11">
        <f>( -0.01222*Ilmanvaihtolaskelma!F21^2 + 0.4069*Ilmanvaihtolaskelma!F21 + 0.2263)*SQRT(Ilmanvaihtolaskelma!G21)</f>
        <v>0</v>
      </c>
      <c r="S20" s="11">
        <f>(-0.0134*Ilmanvaihtolaskelma!F21^2 + 0.4836*Ilmanvaihtolaskelma!F21 + 0.1744)*SQRT(Ilmanvaihtolaskelma!G21)</f>
        <v>0</v>
      </c>
      <c r="T20" s="11">
        <f>0.3*Ilmanvaihtolaskelma!F21*SQRT(Ilmanvaihtolaskelma!G21)</f>
        <v>0</v>
      </c>
    </row>
    <row r="21" spans="2:20" x14ac:dyDescent="0.25">
      <c r="B21" s="24" t="str">
        <f>IF(OR(Ilmanvaihtolaskelma!D21="KSO-100",Ilmanvaihtolaskelma!D21="KSO-125",Ilmanvaihtolaskelma!D21=""),"",1)</f>
        <v/>
      </c>
      <c r="C21" s="25" t="str">
        <f>IF(OR(Ilmanvaihtolaskelma!D21="KSO-100",Ilmanvaihtolaskelma!D21="KSO-125"),1,"")</f>
        <v/>
      </c>
      <c r="D21" s="26" t="str">
        <f>IF(OR(Ilmanvaihtolaskelma!D21="KSO-100",Ilmanvaihtolaskelma!D21="KSO-125",Ilmanvaihtolaskelma!D21=""),"",Ilmanvaihtolaskelma!H21)</f>
        <v/>
      </c>
      <c r="E21" s="23" t="str">
        <f>IF(OR(Ilmanvaihtolaskelma!D21="KSO-100",Ilmanvaihtolaskelma!D21="KSO-125"),Ilmanvaihtolaskelma!H21,"")</f>
        <v/>
      </c>
      <c r="F21" s="27" t="str">
        <f>IF(AND(Ilmanvaihtolaskelma!I21&lt;&gt;"",B21=1),1,"")</f>
        <v/>
      </c>
      <c r="G21" s="28" t="str">
        <f>IF(AND(Ilmanvaihtolaskelma!I21&lt;&gt;"",C21=1),1,"")</f>
        <v/>
      </c>
      <c r="H21" s="22" t="str">
        <f>IF(F21=1,Ilmanvaihtolaskelma!I21,"")</f>
        <v/>
      </c>
      <c r="I21" s="23" t="str">
        <f>IF(AND(G21=1,C21=1),Ilmanvaihtolaskelma!I21,"")</f>
        <v/>
      </c>
      <c r="J21" s="90" t="str">
        <f>IF(AND(Ilmanvaihtolaskelma!F21&lt;&gt;"",Ilmanvaihtolaskelma!G21&lt;&gt;""),IF(Ilmanvaihtolaskelma!D21=Laskut!$L$4,Laskut!L20,IF(Ilmanvaihtolaskelma!D21=Laskut!$M$4,Laskut!M20,IF(Ilmanvaihtolaskelma!D21=Laskut!$N$4,Laskut!N20,IF(Ilmanvaihtolaskelma!D21=Laskut!$O$4,Laskut!O20,IF(Ilmanvaihtolaskelma!D21=Laskut!$P$4,Laskut!P20,IF(Ilmanvaihtolaskelma!D21=Laskut!$Q$4,Laskut!Q20,IF(Ilmanvaihtolaskelma!D21=Laskut!$R$4,Laskut!R20,IF(Ilmanvaihtolaskelma!D21=Laskut!$S$4,Laskut!S20,IF(Ilmanvaihtolaskelma!D21=Laskut!$T$4,Laskut!T20,""))))))))),"")</f>
        <v/>
      </c>
      <c r="L21" s="11">
        <f>(0.0906*Ilmanvaihtolaskelma!F22 + 1.8782)*SQRT(Ilmanvaihtolaskelma!G22)</f>
        <v>0</v>
      </c>
      <c r="M21" s="11">
        <f>(0.0006*Ilmanvaihtolaskelma!F22*Ilmanvaihtolaskelma!F22+0.124*Ilmanvaihtolaskelma!F22+2.6914)*SQRT(Ilmanvaihtolaskelma!G22)</f>
        <v>0</v>
      </c>
      <c r="N21" s="11">
        <f>(0.3997*Ilmanvaihtolaskelma!F22 + 0.3421)*SQRT(Ilmanvaihtolaskelma!G22)</f>
        <v>0</v>
      </c>
      <c r="O21" s="11">
        <f>(0.006*Ilmanvaihtolaskelma!F22^2 + 0.3161*Ilmanvaihtolaskelma!F22 + 0.8944)*SQRT(Ilmanvaihtolaskelma!G22)</f>
        <v>0</v>
      </c>
      <c r="P21" s="11">
        <f>( -0.004*Ilmanvaihtolaskelma!F22^2 + 0.2431*Ilmanvaihtolaskelma!F22 + 0.5081)*SQRT(Ilmanvaihtolaskelma!G22)</f>
        <v>0</v>
      </c>
      <c r="Q21" s="11">
        <f>(-0.0058*Ilmanvaihtolaskelma!F22^2 + 0.3221*Ilmanvaihtolaskelma!F22 + 0.835)*SQRT(Ilmanvaihtolaskelma!G22)</f>
        <v>0</v>
      </c>
      <c r="R21" s="11">
        <f>( -0.01222*Ilmanvaihtolaskelma!F22^2 + 0.4069*Ilmanvaihtolaskelma!F22 + 0.2263)*SQRT(Ilmanvaihtolaskelma!G22)</f>
        <v>0</v>
      </c>
      <c r="S21" s="11">
        <f>(-0.0134*Ilmanvaihtolaskelma!F22^2 + 0.4836*Ilmanvaihtolaskelma!F22 + 0.1744)*SQRT(Ilmanvaihtolaskelma!G22)</f>
        <v>0</v>
      </c>
      <c r="T21" s="11">
        <f>0.3*Ilmanvaihtolaskelma!F22*SQRT(Ilmanvaihtolaskelma!G22)</f>
        <v>0</v>
      </c>
    </row>
    <row r="22" spans="2:20" x14ac:dyDescent="0.25">
      <c r="B22" s="24" t="str">
        <f>IF(OR(Ilmanvaihtolaskelma!D22="KSO-100",Ilmanvaihtolaskelma!D22="KSO-125",Ilmanvaihtolaskelma!D22=""),"",1)</f>
        <v/>
      </c>
      <c r="C22" s="25" t="str">
        <f>IF(OR(Ilmanvaihtolaskelma!D22="KSO-100",Ilmanvaihtolaskelma!D22="KSO-125"),1,"")</f>
        <v/>
      </c>
      <c r="D22" s="26" t="str">
        <f>IF(OR(Ilmanvaihtolaskelma!D22="KSO-100",Ilmanvaihtolaskelma!D22="KSO-125",Ilmanvaihtolaskelma!D22=""),"",Ilmanvaihtolaskelma!H22)</f>
        <v/>
      </c>
      <c r="E22" s="23" t="str">
        <f>IF(OR(Ilmanvaihtolaskelma!D22="KSO-100",Ilmanvaihtolaskelma!D22="KSO-125"),Ilmanvaihtolaskelma!H22,"")</f>
        <v/>
      </c>
      <c r="F22" s="27" t="str">
        <f>IF(AND(Ilmanvaihtolaskelma!I22&lt;&gt;"",B22=1),1,"")</f>
        <v/>
      </c>
      <c r="G22" s="28" t="str">
        <f>IF(AND(Ilmanvaihtolaskelma!I22&lt;&gt;"",C22=1),1,"")</f>
        <v/>
      </c>
      <c r="H22" s="22" t="str">
        <f>IF(F22=1,Ilmanvaihtolaskelma!I22,"")</f>
        <v/>
      </c>
      <c r="I22" s="23" t="str">
        <f>IF(AND(G22=1,C22=1),Ilmanvaihtolaskelma!I22,"")</f>
        <v/>
      </c>
      <c r="J22" s="90" t="str">
        <f>IF(AND(Ilmanvaihtolaskelma!F22&lt;&gt;"",Ilmanvaihtolaskelma!G22&lt;&gt;""),IF(Ilmanvaihtolaskelma!D22=Laskut!$L$4,Laskut!L21,IF(Ilmanvaihtolaskelma!D22=Laskut!$M$4,Laskut!M21,IF(Ilmanvaihtolaskelma!D22=Laskut!$N$4,Laskut!N21,IF(Ilmanvaihtolaskelma!D22=Laskut!$O$4,Laskut!O21,IF(Ilmanvaihtolaskelma!D22=Laskut!$P$4,Laskut!P21,IF(Ilmanvaihtolaskelma!D22=Laskut!$Q$4,Laskut!Q21,IF(Ilmanvaihtolaskelma!D22=Laskut!$R$4,Laskut!R21,IF(Ilmanvaihtolaskelma!D22=Laskut!$S$4,Laskut!S21,IF(Ilmanvaihtolaskelma!D22=Laskut!$T$4,Laskut!T21,""))))))))),"")</f>
        <v/>
      </c>
      <c r="L22" s="11">
        <f>(0.0906*Ilmanvaihtolaskelma!F23 + 1.8782)*SQRT(Ilmanvaihtolaskelma!G23)</f>
        <v>0</v>
      </c>
      <c r="M22" s="11">
        <f>(0.0006*Ilmanvaihtolaskelma!F23*Ilmanvaihtolaskelma!F23+0.124*Ilmanvaihtolaskelma!F23+2.6914)*SQRT(Ilmanvaihtolaskelma!G23)</f>
        <v>0</v>
      </c>
      <c r="N22" s="11">
        <f>(0.3997*Ilmanvaihtolaskelma!F23 + 0.3421)*SQRT(Ilmanvaihtolaskelma!G23)</f>
        <v>0</v>
      </c>
      <c r="O22" s="11">
        <f>(0.006*Ilmanvaihtolaskelma!F23^2 + 0.3161*Ilmanvaihtolaskelma!F23 + 0.8944)*SQRT(Ilmanvaihtolaskelma!G23)</f>
        <v>0</v>
      </c>
      <c r="P22" s="11">
        <f>( -0.004*Ilmanvaihtolaskelma!F23^2 + 0.2431*Ilmanvaihtolaskelma!F23 + 0.5081)*SQRT(Ilmanvaihtolaskelma!G23)</f>
        <v>0</v>
      </c>
      <c r="Q22" s="11">
        <f>(-0.0058*Ilmanvaihtolaskelma!F23^2 + 0.3221*Ilmanvaihtolaskelma!F23 + 0.835)*SQRT(Ilmanvaihtolaskelma!G23)</f>
        <v>0</v>
      </c>
      <c r="R22" s="11">
        <f>( -0.01222*Ilmanvaihtolaskelma!F23^2 + 0.4069*Ilmanvaihtolaskelma!F23 + 0.2263)*SQRT(Ilmanvaihtolaskelma!G23)</f>
        <v>0</v>
      </c>
      <c r="S22" s="11">
        <f>(-0.0134*Ilmanvaihtolaskelma!F23^2 + 0.4836*Ilmanvaihtolaskelma!F23 + 0.1744)*SQRT(Ilmanvaihtolaskelma!G23)</f>
        <v>0</v>
      </c>
      <c r="T22" s="11">
        <f>0.3*Ilmanvaihtolaskelma!F23*SQRT(Ilmanvaihtolaskelma!G23)</f>
        <v>0</v>
      </c>
    </row>
    <row r="23" spans="2:20" x14ac:dyDescent="0.25">
      <c r="B23" s="24" t="str">
        <f>IF(OR(Ilmanvaihtolaskelma!D23="KSO-100",Ilmanvaihtolaskelma!D23="KSO-125",Ilmanvaihtolaskelma!D23=""),"",1)</f>
        <v/>
      </c>
      <c r="C23" s="25" t="str">
        <f>IF(OR(Ilmanvaihtolaskelma!D23="KSO-100",Ilmanvaihtolaskelma!D23="KSO-125"),1,"")</f>
        <v/>
      </c>
      <c r="D23" s="26" t="str">
        <f>IF(OR(Ilmanvaihtolaskelma!D23="KSO-100",Ilmanvaihtolaskelma!D23="KSO-125",Ilmanvaihtolaskelma!D23=""),"",Ilmanvaihtolaskelma!H23)</f>
        <v/>
      </c>
      <c r="E23" s="23" t="str">
        <f>IF(OR(Ilmanvaihtolaskelma!D23="KSO-100",Ilmanvaihtolaskelma!D23="KSO-125"),Ilmanvaihtolaskelma!H23,"")</f>
        <v/>
      </c>
      <c r="F23" s="27" t="str">
        <f>IF(AND(Ilmanvaihtolaskelma!I23&lt;&gt;"",B23=1),1,"")</f>
        <v/>
      </c>
      <c r="G23" s="28" t="str">
        <f>IF(AND(Ilmanvaihtolaskelma!I23&lt;&gt;"",C23=1),1,"")</f>
        <v/>
      </c>
      <c r="H23" s="22" t="str">
        <f>IF(F23=1,Ilmanvaihtolaskelma!I23,"")</f>
        <v/>
      </c>
      <c r="I23" s="23" t="str">
        <f>IF(AND(G23=1,C23=1),Ilmanvaihtolaskelma!I23,"")</f>
        <v/>
      </c>
      <c r="J23" s="90" t="str">
        <f>IF(AND(Ilmanvaihtolaskelma!F23&lt;&gt;"",Ilmanvaihtolaskelma!G23&lt;&gt;""),IF(Ilmanvaihtolaskelma!D23=Laskut!$L$4,Laskut!L22,IF(Ilmanvaihtolaskelma!D23=Laskut!$M$4,Laskut!M22,IF(Ilmanvaihtolaskelma!D23=Laskut!$N$4,Laskut!N22,IF(Ilmanvaihtolaskelma!D23=Laskut!$O$4,Laskut!O22,IF(Ilmanvaihtolaskelma!D23=Laskut!$P$4,Laskut!P22,IF(Ilmanvaihtolaskelma!D23=Laskut!$Q$4,Laskut!Q22,IF(Ilmanvaihtolaskelma!D23=Laskut!$R$4,Laskut!R22,IF(Ilmanvaihtolaskelma!D23=Laskut!$S$4,Laskut!S22,IF(Ilmanvaihtolaskelma!D23=Laskut!$T$4,Laskut!T22,""))))))))),"")</f>
        <v/>
      </c>
      <c r="L23" s="11">
        <f>(0.0906*Ilmanvaihtolaskelma!F24 + 1.8782)*SQRT(Ilmanvaihtolaskelma!G24)</f>
        <v>0</v>
      </c>
      <c r="M23" s="11">
        <f>(0.0006*Ilmanvaihtolaskelma!F24*Ilmanvaihtolaskelma!F24+0.124*Ilmanvaihtolaskelma!F24+2.6914)*SQRT(Ilmanvaihtolaskelma!G24)</f>
        <v>0</v>
      </c>
      <c r="N23" s="11">
        <f>(0.3997*Ilmanvaihtolaskelma!F24 + 0.3421)*SQRT(Ilmanvaihtolaskelma!G24)</f>
        <v>0</v>
      </c>
      <c r="O23" s="11">
        <f>(0.006*Ilmanvaihtolaskelma!F24^2 + 0.3161*Ilmanvaihtolaskelma!F24 + 0.8944)*SQRT(Ilmanvaihtolaskelma!G24)</f>
        <v>0</v>
      </c>
      <c r="P23" s="11">
        <f>( -0.004*Ilmanvaihtolaskelma!F24^2 + 0.2431*Ilmanvaihtolaskelma!F24 + 0.5081)*SQRT(Ilmanvaihtolaskelma!G24)</f>
        <v>0</v>
      </c>
      <c r="Q23" s="11">
        <f>(-0.0058*Ilmanvaihtolaskelma!F24^2 + 0.3221*Ilmanvaihtolaskelma!F24 + 0.835)*SQRT(Ilmanvaihtolaskelma!G24)</f>
        <v>0</v>
      </c>
      <c r="R23" s="11">
        <f>( -0.01222*Ilmanvaihtolaskelma!F24^2 + 0.4069*Ilmanvaihtolaskelma!F24 + 0.2263)*SQRT(Ilmanvaihtolaskelma!G24)</f>
        <v>0</v>
      </c>
      <c r="S23" s="11">
        <f>(-0.0134*Ilmanvaihtolaskelma!F24^2 + 0.4836*Ilmanvaihtolaskelma!F24 + 0.1744)*SQRT(Ilmanvaihtolaskelma!G24)</f>
        <v>0</v>
      </c>
      <c r="T23" s="11">
        <f>0.3*Ilmanvaihtolaskelma!F24*SQRT(Ilmanvaihtolaskelma!G24)</f>
        <v>0</v>
      </c>
    </row>
    <row r="24" spans="2:20" x14ac:dyDescent="0.25">
      <c r="B24" s="24" t="str">
        <f>IF(OR(Ilmanvaihtolaskelma!D24="KSO-100",Ilmanvaihtolaskelma!D24="KSO-125",Ilmanvaihtolaskelma!D24=""),"",1)</f>
        <v/>
      </c>
      <c r="C24" s="25" t="str">
        <f>IF(OR(Ilmanvaihtolaskelma!D24="KSO-100",Ilmanvaihtolaskelma!D24="KSO-125"),1,"")</f>
        <v/>
      </c>
      <c r="D24" s="26" t="str">
        <f>IF(OR(Ilmanvaihtolaskelma!D24="KSO-100",Ilmanvaihtolaskelma!D24="KSO-125",Ilmanvaihtolaskelma!D24=""),"",Ilmanvaihtolaskelma!H24)</f>
        <v/>
      </c>
      <c r="E24" s="23" t="str">
        <f>IF(OR(Ilmanvaihtolaskelma!D24="KSO-100",Ilmanvaihtolaskelma!D24="KSO-125"),Ilmanvaihtolaskelma!H24,"")</f>
        <v/>
      </c>
      <c r="F24" s="27" t="str">
        <f>IF(AND(Ilmanvaihtolaskelma!I24&lt;&gt;"",B24=1),1,"")</f>
        <v/>
      </c>
      <c r="G24" s="28" t="str">
        <f>IF(AND(Ilmanvaihtolaskelma!I24&lt;&gt;"",C24=1),1,"")</f>
        <v/>
      </c>
      <c r="H24" s="22" t="str">
        <f>IF(F24=1,Ilmanvaihtolaskelma!I24,"")</f>
        <v/>
      </c>
      <c r="I24" s="23" t="str">
        <f>IF(AND(G24=1,C24=1),Ilmanvaihtolaskelma!I24,"")</f>
        <v/>
      </c>
      <c r="J24" s="90" t="str">
        <f>IF(AND(Ilmanvaihtolaskelma!F24&lt;&gt;"",Ilmanvaihtolaskelma!G24&lt;&gt;""),IF(Ilmanvaihtolaskelma!D24=Laskut!$L$4,Laskut!L23,IF(Ilmanvaihtolaskelma!D24=Laskut!$M$4,Laskut!M23,IF(Ilmanvaihtolaskelma!D24=Laskut!$N$4,Laskut!N23,IF(Ilmanvaihtolaskelma!D24=Laskut!$O$4,Laskut!O23,IF(Ilmanvaihtolaskelma!D24=Laskut!$P$4,Laskut!P23,IF(Ilmanvaihtolaskelma!D24=Laskut!$Q$4,Laskut!Q23,IF(Ilmanvaihtolaskelma!D24=Laskut!$R$4,Laskut!R23,IF(Ilmanvaihtolaskelma!D24=Laskut!$S$4,Laskut!S23,IF(Ilmanvaihtolaskelma!D24=Laskut!$T$4,Laskut!T23,""))))))))),"")</f>
        <v/>
      </c>
      <c r="L24" s="11">
        <f>(0.0906*Ilmanvaihtolaskelma!F25 + 1.8782)*SQRT(Ilmanvaihtolaskelma!G25)</f>
        <v>0</v>
      </c>
      <c r="M24" s="11">
        <f>(0.0006*Ilmanvaihtolaskelma!F25*Ilmanvaihtolaskelma!F25+0.124*Ilmanvaihtolaskelma!F25+2.6914)*SQRT(Ilmanvaihtolaskelma!G25)</f>
        <v>0</v>
      </c>
      <c r="N24" s="11">
        <f>(0.3997*Ilmanvaihtolaskelma!F25 + 0.3421)*SQRT(Ilmanvaihtolaskelma!G25)</f>
        <v>0</v>
      </c>
      <c r="O24" s="11">
        <f>(0.006*Ilmanvaihtolaskelma!F25^2 + 0.3161*Ilmanvaihtolaskelma!F25 + 0.8944)*SQRT(Ilmanvaihtolaskelma!G25)</f>
        <v>0</v>
      </c>
      <c r="P24" s="11">
        <f>( -0.004*Ilmanvaihtolaskelma!F25^2 + 0.2431*Ilmanvaihtolaskelma!F25 + 0.5081)*SQRT(Ilmanvaihtolaskelma!G25)</f>
        <v>0</v>
      </c>
      <c r="Q24" s="11">
        <f>(-0.0058*Ilmanvaihtolaskelma!F25^2 + 0.3221*Ilmanvaihtolaskelma!F25 + 0.835)*SQRT(Ilmanvaihtolaskelma!G25)</f>
        <v>0</v>
      </c>
      <c r="R24" s="11">
        <f>( -0.01222*Ilmanvaihtolaskelma!F25^2 + 0.4069*Ilmanvaihtolaskelma!F25 + 0.2263)*SQRT(Ilmanvaihtolaskelma!G25)</f>
        <v>0</v>
      </c>
      <c r="S24" s="11">
        <f>(-0.0134*Ilmanvaihtolaskelma!F25^2 + 0.4836*Ilmanvaihtolaskelma!F25 + 0.1744)*SQRT(Ilmanvaihtolaskelma!G25)</f>
        <v>0</v>
      </c>
      <c r="T24" s="11">
        <f>0.3*Ilmanvaihtolaskelma!F25*SQRT(Ilmanvaihtolaskelma!G25)</f>
        <v>0</v>
      </c>
    </row>
    <row r="25" spans="2:20" x14ac:dyDescent="0.25">
      <c r="B25" s="24" t="str">
        <f>IF(OR(Ilmanvaihtolaskelma!D25="KSO-100",Ilmanvaihtolaskelma!D25="KSO-125",Ilmanvaihtolaskelma!D25=""),"",1)</f>
        <v/>
      </c>
      <c r="C25" s="25" t="str">
        <f>IF(OR(Ilmanvaihtolaskelma!D25="KSO-100",Ilmanvaihtolaskelma!D25="KSO-125"),1,"")</f>
        <v/>
      </c>
      <c r="D25" s="26" t="str">
        <f>IF(OR(Ilmanvaihtolaskelma!D25="KSO-100",Ilmanvaihtolaskelma!D25="KSO-125",Ilmanvaihtolaskelma!D25=""),"",Ilmanvaihtolaskelma!H25)</f>
        <v/>
      </c>
      <c r="E25" s="23" t="str">
        <f>IF(OR(Ilmanvaihtolaskelma!D25="KSO-100",Ilmanvaihtolaskelma!D25="KSO-125"),Ilmanvaihtolaskelma!H25,"")</f>
        <v/>
      </c>
      <c r="F25" s="27" t="str">
        <f>IF(AND(Ilmanvaihtolaskelma!I25&lt;&gt;"",B25=1),1,"")</f>
        <v/>
      </c>
      <c r="G25" s="28" t="str">
        <f>IF(AND(Ilmanvaihtolaskelma!I25&lt;&gt;"",C25=1),1,"")</f>
        <v/>
      </c>
      <c r="H25" s="22" t="str">
        <f>IF(F25=1,Ilmanvaihtolaskelma!I25,"")</f>
        <v/>
      </c>
      <c r="I25" s="23" t="str">
        <f>IF(AND(G25=1,C25=1),Ilmanvaihtolaskelma!I25,"")</f>
        <v/>
      </c>
      <c r="J25" s="90" t="str">
        <f>IF(AND(Ilmanvaihtolaskelma!F25&lt;&gt;"",Ilmanvaihtolaskelma!G25&lt;&gt;""),IF(Ilmanvaihtolaskelma!D25=Laskut!$L$4,Laskut!L24,IF(Ilmanvaihtolaskelma!D25=Laskut!$M$4,Laskut!M24,IF(Ilmanvaihtolaskelma!D25=Laskut!$N$4,Laskut!N24,IF(Ilmanvaihtolaskelma!D25=Laskut!$O$4,Laskut!O24,IF(Ilmanvaihtolaskelma!D25=Laskut!$P$4,Laskut!P24,IF(Ilmanvaihtolaskelma!D25=Laskut!$Q$4,Laskut!Q24,IF(Ilmanvaihtolaskelma!D25=Laskut!$R$4,Laskut!R24,IF(Ilmanvaihtolaskelma!D25=Laskut!$S$4,Laskut!S24,IF(Ilmanvaihtolaskelma!D25=Laskut!$T$4,Laskut!T24,""))))))))),"")</f>
        <v/>
      </c>
      <c r="L25" s="11">
        <f>(0.0906*Ilmanvaihtolaskelma!F26 + 1.8782)*SQRT(Ilmanvaihtolaskelma!G26)</f>
        <v>0</v>
      </c>
      <c r="M25" s="11">
        <f>(0.0006*Ilmanvaihtolaskelma!F26*Ilmanvaihtolaskelma!F26+0.124*Ilmanvaihtolaskelma!F26+2.6914)*SQRT(Ilmanvaihtolaskelma!G26)</f>
        <v>0</v>
      </c>
      <c r="N25" s="11">
        <f>(0.3997*Ilmanvaihtolaskelma!F26 + 0.3421)*SQRT(Ilmanvaihtolaskelma!G26)</f>
        <v>0</v>
      </c>
      <c r="O25" s="11">
        <f>(0.006*Ilmanvaihtolaskelma!F26^2 + 0.3161*Ilmanvaihtolaskelma!F26 + 0.8944)*SQRT(Ilmanvaihtolaskelma!G26)</f>
        <v>0</v>
      </c>
      <c r="P25" s="11">
        <f>( -0.004*Ilmanvaihtolaskelma!F26^2 + 0.2431*Ilmanvaihtolaskelma!F26 + 0.5081)*SQRT(Ilmanvaihtolaskelma!G26)</f>
        <v>0</v>
      </c>
      <c r="Q25" s="11">
        <f>(-0.0058*Ilmanvaihtolaskelma!F26^2 + 0.3221*Ilmanvaihtolaskelma!F26 + 0.835)*SQRT(Ilmanvaihtolaskelma!G26)</f>
        <v>0</v>
      </c>
      <c r="R25" s="11">
        <f>( -0.01222*Ilmanvaihtolaskelma!F26^2 + 0.4069*Ilmanvaihtolaskelma!F26 + 0.2263)*SQRT(Ilmanvaihtolaskelma!G26)</f>
        <v>0</v>
      </c>
      <c r="S25" s="11">
        <f>(-0.0134*Ilmanvaihtolaskelma!F26^2 + 0.4836*Ilmanvaihtolaskelma!F26 + 0.1744)*SQRT(Ilmanvaihtolaskelma!G26)</f>
        <v>0</v>
      </c>
      <c r="T25" s="11">
        <f>0.3*Ilmanvaihtolaskelma!F26*SQRT(Ilmanvaihtolaskelma!G26)</f>
        <v>0</v>
      </c>
    </row>
    <row r="26" spans="2:20" ht="15.75" thickBot="1" x14ac:dyDescent="0.3">
      <c r="B26" s="29" t="str">
        <f>IF(OR(Ilmanvaihtolaskelma!D26="KSO-100",Ilmanvaihtolaskelma!D26="KSO-125",Ilmanvaihtolaskelma!D26=""),"",1)</f>
        <v/>
      </c>
      <c r="C26" s="30" t="str">
        <f>IF(OR(Ilmanvaihtolaskelma!D26="KSO-100",Ilmanvaihtolaskelma!D26="KSO-125"),1,"")</f>
        <v/>
      </c>
      <c r="D26" s="31" t="str">
        <f>IF(OR(Ilmanvaihtolaskelma!D26="KSO-100",Ilmanvaihtolaskelma!D26="KSO-125",Ilmanvaihtolaskelma!D26=""),"",Ilmanvaihtolaskelma!H26)</f>
        <v/>
      </c>
      <c r="E26" s="32" t="str">
        <f>IF(OR(Ilmanvaihtolaskelma!D26="KSO-100",Ilmanvaihtolaskelma!D26="KSO-125"),Ilmanvaihtolaskelma!H26,"")</f>
        <v/>
      </c>
      <c r="F26" s="33" t="str">
        <f>IF(AND(Ilmanvaihtolaskelma!I26&lt;&gt;"",B26=1),1,"")</f>
        <v/>
      </c>
      <c r="G26" s="34" t="str">
        <f>IF(AND(Ilmanvaihtolaskelma!I26&lt;&gt;"",C26=1),1,"")</f>
        <v/>
      </c>
      <c r="H26" s="35" t="str">
        <f>IF(F26=1,Ilmanvaihtolaskelma!I26,"")</f>
        <v/>
      </c>
      <c r="I26" s="32" t="str">
        <f>IF(AND(G26=1,C26=1),Ilmanvaihtolaskelma!I26,"")</f>
        <v/>
      </c>
      <c r="J26" s="92" t="str">
        <f>IF(AND(Ilmanvaihtolaskelma!F26&lt;&gt;"",Ilmanvaihtolaskelma!G26&lt;&gt;""),IF(Ilmanvaihtolaskelma!D26=Laskut!$L$4,Laskut!L25,IF(Ilmanvaihtolaskelma!D26=Laskut!$M$4,Laskut!M25,IF(Ilmanvaihtolaskelma!D26=Laskut!$N$4,Laskut!N25,IF(Ilmanvaihtolaskelma!D26=Laskut!$O$4,Laskut!O25,IF(Ilmanvaihtolaskelma!D26=Laskut!$P$4,Laskut!P25,IF(Ilmanvaihtolaskelma!D26=Laskut!$Q$4,Laskut!Q25,IF(Ilmanvaihtolaskelma!D26=Laskut!$R$4,Laskut!R25,IF(Ilmanvaihtolaskelma!D26=Laskut!$S$4,Laskut!S25,IF(Ilmanvaihtolaskelma!D26=Laskut!$T$4,Laskut!T25,""))))))))),"")</f>
        <v/>
      </c>
      <c r="L26" s="5"/>
      <c r="M26" s="5"/>
      <c r="N26" s="5"/>
      <c r="O26" s="5"/>
      <c r="P26" s="5"/>
      <c r="Q26" s="5"/>
      <c r="R26" s="5"/>
      <c r="S26" s="5"/>
      <c r="T26" s="5"/>
    </row>
    <row r="27" spans="2:20" ht="15.75" thickBot="1" x14ac:dyDescent="0.3">
      <c r="B27" s="36">
        <f>SUM(B7:B7:B26)</f>
        <v>7</v>
      </c>
      <c r="C27" s="37">
        <f t="shared" ref="C27:I27" si="0">SUM(C7:C26)</f>
        <v>7</v>
      </c>
      <c r="D27" s="38">
        <f t="shared" si="0"/>
        <v>62.824513784824298</v>
      </c>
      <c r="E27" s="39">
        <f t="shared" si="0"/>
        <v>64.218237720912612</v>
      </c>
      <c r="F27" s="40">
        <f t="shared" si="0"/>
        <v>7</v>
      </c>
      <c r="G27" s="41">
        <f t="shared" si="0"/>
        <v>7</v>
      </c>
      <c r="H27" s="42">
        <f t="shared" si="0"/>
        <v>62</v>
      </c>
      <c r="I27" s="39">
        <f t="shared" si="0"/>
        <v>65</v>
      </c>
      <c r="J27" s="93"/>
      <c r="K27" s="5"/>
      <c r="L27" s="5"/>
      <c r="M27" s="5"/>
      <c r="N27" s="5"/>
      <c r="O27" s="5"/>
      <c r="P27" s="5"/>
      <c r="Q27" s="5"/>
      <c r="R27" s="5"/>
      <c r="S27" s="5"/>
      <c r="T27" s="5"/>
    </row>
    <row r="28" spans="2:20" x14ac:dyDescent="0.25"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</row>
    <row r="29" spans="2:20" x14ac:dyDescent="0.25">
      <c r="B29" s="5"/>
      <c r="C29" s="43" t="s">
        <v>72</v>
      </c>
      <c r="D29" s="44"/>
      <c r="E29" s="45"/>
      <c r="F29" s="45"/>
      <c r="G29" s="45"/>
      <c r="H29" s="46"/>
      <c r="I29" s="5"/>
      <c r="J29" s="5"/>
      <c r="K29" s="5"/>
      <c r="L29" s="152" t="str">
        <f t="shared" ref="L29:T29" si="1">L4</f>
        <v>KSO-100</v>
      </c>
      <c r="M29" s="152" t="str">
        <f t="shared" si="1"/>
        <v>KSO-125</v>
      </c>
      <c r="N29" s="152" t="str">
        <f t="shared" si="1"/>
        <v>KTS-100</v>
      </c>
      <c r="O29" s="152" t="str">
        <f t="shared" si="1"/>
        <v>KTS-125</v>
      </c>
      <c r="P29" s="152" t="str">
        <f t="shared" si="1"/>
        <v>KTS-100 (suuntaava)</v>
      </c>
      <c r="Q29" s="152" t="str">
        <f t="shared" si="1"/>
        <v>KTS-125 (suuntaava)</v>
      </c>
      <c r="R29" s="152" t="str">
        <f t="shared" si="1"/>
        <v>KTS-100 (s &gt;06.2006)</v>
      </c>
      <c r="S29" s="152" t="str">
        <f t="shared" si="1"/>
        <v>KTS-125 (s &gt;06.2006)</v>
      </c>
      <c r="T29" s="152" t="str">
        <f t="shared" si="1"/>
        <v>STQA-100/125</v>
      </c>
    </row>
    <row r="30" spans="2:20" x14ac:dyDescent="0.25">
      <c r="B30" s="5"/>
      <c r="C30" s="18" t="s">
        <v>76</v>
      </c>
      <c r="D30" s="5"/>
      <c r="E30" s="5">
        <f>IF(AND(Ilmanvaihtolaskelma!H34&lt;&gt;"",Ilmanvaihtolaskelma!H30&lt;&gt;""),IF(Ilmanvaihtolaskelma!H34=Ilmanvaihtolaskelma!H30,1,IF(Ilmanvaihtolaskelma!H30&lt;Ilmanvaihtolaskelma!H34,2,IF(Ilmanvaihtolaskelma!H30&gt;Ilmanvaihtolaskelma!H34,3,""))))</f>
        <v>2</v>
      </c>
      <c r="F30" s="5" t="s">
        <v>73</v>
      </c>
      <c r="G30" s="5" t="s">
        <v>74</v>
      </c>
      <c r="H30" s="19" t="s">
        <v>75</v>
      </c>
      <c r="I30" s="5"/>
      <c r="J30" s="5"/>
      <c r="K30" s="5"/>
      <c r="L30" s="152"/>
      <c r="M30" s="152"/>
      <c r="N30" s="152"/>
      <c r="O30" s="152"/>
      <c r="P30" s="152"/>
      <c r="Q30" s="152"/>
      <c r="R30" s="152"/>
      <c r="S30" s="152"/>
      <c r="T30" s="152"/>
    </row>
    <row r="31" spans="2:20" x14ac:dyDescent="0.25">
      <c r="B31" s="5"/>
      <c r="C31" s="18"/>
      <c r="D31" s="5"/>
      <c r="E31" s="11">
        <f>ABS(Ilmanvaihtolaskelma!H30-Ilmanvaihtolaskelma!H34)</f>
        <v>1.393723936088314</v>
      </c>
      <c r="F31" s="5" t="s">
        <v>78</v>
      </c>
      <c r="G31" s="5"/>
      <c r="H31" s="19"/>
      <c r="I31" s="5"/>
      <c r="J31" s="5"/>
      <c r="K31" s="5"/>
      <c r="L31" s="5">
        <f>Ilmanvaihtolaskelma!$R$7/SQRT(Ilmanvaihtolaskelma!$Q$7)*11.022 - 20.705</f>
        <v>14.149624370375875</v>
      </c>
      <c r="M31" s="5">
        <f>-0.3012*(Ilmanvaihtolaskelma!$R$7/SQRT(Ilmanvaihtolaskelma!$Q$7))^2 + 9.7134 *(Ilmanvaihtolaskelma!$R$7/SQRT(Ilmanvaihtolaskelma!$Q$7)) - 23.96</f>
        <v>3.744467824279532</v>
      </c>
      <c r="N31" s="5">
        <f xml:space="preserve"> 2.499*(Ilmanvaihtolaskelma!$R$7/SQRT(Ilmanvaihtolaskelma!$Q$7)) - 0.8471</f>
        <v>7.0554318727607797</v>
      </c>
      <c r="O31" s="5">
        <f xml:space="preserve"> -0.072*(Ilmanvaihtolaskelma!$R$7/SQRT(Ilmanvaihtolaskelma!$Q$7))^2 + 2.9879*(Ilmanvaihtolaskelma!$R$7/SQRT(Ilmanvaihtolaskelma!$Q$7)) - 2.3442</f>
        <v>6.3843694208170989</v>
      </c>
      <c r="P31" s="5">
        <f>0.7445*(Ilmanvaihtolaskelma!$R$7/SQRT(Ilmanvaihtolaskelma!$Q$7))^2 + 2.48*(Ilmanvaihtolaskelma!$R$7/SQRT(Ilmanvaihtolaskelma!$Q$7)) - 1.0574</f>
        <v>14.23004859721758</v>
      </c>
      <c r="Q31" s="5">
        <f xml:space="preserve"> 0.5833*(Ilmanvaihtolaskelma!$R$7/SQRT(Ilmanvaihtolaskelma!$Q$7))^2 + 0.9293*(Ilmanvaihtolaskelma!$R$7/SQRT(Ilmanvaihtolaskelma!$Q$7)) - 0.2609</f>
        <v>8.5108046295944746</v>
      </c>
      <c r="R31" s="5">
        <f xml:space="preserve"> 0.7921*(Ilmanvaihtolaskelma!$R$7/SQRT(Ilmanvaihtolaskelma!$Q$7))^3 - 4.0196*(Ilmanvaihtolaskelma!$R$7/SQRT(Ilmanvaihtolaskelma!$Q$7))^2 + 9.5833*(Ilmanvaihtolaskelma!$R$7/SQRT(Ilmanvaihtolaskelma!$Q$7)) - 4.3404</f>
        <v>10.817056846885365</v>
      </c>
      <c r="S31" s="5">
        <f xml:space="preserve"> 0.6853*(Ilmanvaihtolaskelma!$R$7/SQRT(Ilmanvaihtolaskelma!$Q$7))^3 - 5.4573*(Ilmanvaihtolaskelma!$R$7/SQRT(Ilmanvaihtolaskelma!$Q$7))^2 + 17.249*(Ilmanvaihtolaskelma!$R$7/SQRT(Ilmanvaihtolaskelma!$Q$7)) - 13.82</f>
        <v>7.8242161653782745</v>
      </c>
      <c r="T31" s="5">
        <f>Ilmanvaihtolaskelma!R7/SQRT(Ilmanvaihtolaskelma!Q7)*3.33333333</f>
        <v>10.540925523353671</v>
      </c>
    </row>
    <row r="32" spans="2:20" x14ac:dyDescent="0.25">
      <c r="B32" s="5"/>
      <c r="C32" s="18"/>
      <c r="D32" s="5"/>
      <c r="E32" s="47">
        <f>ABS(Ilmanvaihtolaskelma!H34/Ilmanvaihtolaskelma!H30-1)</f>
        <v>2.2184396696834918E-2</v>
      </c>
      <c r="F32" s="5" t="s">
        <v>79</v>
      </c>
      <c r="G32" s="5"/>
      <c r="H32" s="19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</row>
    <row r="33" spans="2:20" x14ac:dyDescent="0.25">
      <c r="B33" s="5"/>
      <c r="C33" s="18"/>
      <c r="D33" s="5"/>
      <c r="E33" s="5"/>
      <c r="F33" s="5"/>
      <c r="G33" s="5"/>
      <c r="H33" s="19"/>
      <c r="I33" s="5"/>
      <c r="J33" s="5" t="s">
        <v>85</v>
      </c>
      <c r="L33" s="5">
        <v>-30</v>
      </c>
      <c r="M33" s="5">
        <v>-20</v>
      </c>
      <c r="N33" s="5">
        <v>-10</v>
      </c>
      <c r="O33" s="5">
        <v>0</v>
      </c>
      <c r="P33" s="5">
        <v>10</v>
      </c>
      <c r="Q33" s="5">
        <v>20</v>
      </c>
      <c r="R33" s="5">
        <v>30</v>
      </c>
      <c r="S33" s="5"/>
      <c r="T33" s="5"/>
    </row>
    <row r="34" spans="2:20" x14ac:dyDescent="0.25">
      <c r="B34" s="5"/>
      <c r="C34" s="18" t="s">
        <v>29</v>
      </c>
      <c r="D34" s="5"/>
      <c r="E34" s="5">
        <f>IF(AND(Ilmanvaihtolaskelma!I34&lt;&gt;"",Ilmanvaihtolaskelma!I30&lt;&gt;""),IF(Ilmanvaihtolaskelma!I34=Ilmanvaihtolaskelma!I30,1,IF(Ilmanvaihtolaskelma!I30&lt;Ilmanvaihtolaskelma!I34,2,IF(Ilmanvaihtolaskelma!I30&gt;Ilmanvaihtolaskelma!I34,3,""))))</f>
        <v>2</v>
      </c>
      <c r="F34" s="5" t="s">
        <v>73</v>
      </c>
      <c r="G34" s="5" t="s">
        <v>74</v>
      </c>
      <c r="H34" s="19" t="s">
        <v>75</v>
      </c>
      <c r="I34" s="5"/>
      <c r="J34" s="5" t="s">
        <v>86</v>
      </c>
      <c r="L34" s="5">
        <v>1.4517</v>
      </c>
      <c r="M34" s="5">
        <v>1.3943000000000001</v>
      </c>
      <c r="N34" s="5">
        <v>1.3411</v>
      </c>
      <c r="O34" s="5">
        <v>1.2917000000000001</v>
      </c>
      <c r="P34" s="5">
        <v>1.2455000000000001</v>
      </c>
      <c r="Q34" s="5">
        <v>1.202</v>
      </c>
      <c r="R34" s="5">
        <v>1.1607000000000001</v>
      </c>
      <c r="S34" s="5"/>
      <c r="T34" s="5"/>
    </row>
    <row r="35" spans="2:20" x14ac:dyDescent="0.25">
      <c r="B35" s="5"/>
      <c r="C35" s="18"/>
      <c r="D35" s="5"/>
      <c r="E35" s="11">
        <f>ABS(Ilmanvaihtolaskelma!I34-Ilmanvaihtolaskelma!I30)</f>
        <v>3</v>
      </c>
      <c r="F35" s="5" t="s">
        <v>78</v>
      </c>
      <c r="G35" s="5"/>
      <c r="H35" s="19"/>
      <c r="I35" s="5"/>
      <c r="J35" s="5"/>
      <c r="K35" s="5"/>
      <c r="L35">
        <f xml:space="preserve"> 0.00002*L33^2 - 0.0048*L33 + 1.2917</f>
        <v>1.4537</v>
      </c>
      <c r="M35">
        <f t="shared" ref="M35:R35" si="2" xml:space="preserve"> 0.00002*M33^2 - 0.0048*M33 + 1.2917</f>
        <v>1.3957000000000002</v>
      </c>
      <c r="N35">
        <f t="shared" si="2"/>
        <v>1.3417000000000001</v>
      </c>
      <c r="O35">
        <f t="shared" si="2"/>
        <v>1.2917000000000001</v>
      </c>
      <c r="P35">
        <f t="shared" si="2"/>
        <v>1.2457</v>
      </c>
      <c r="Q35">
        <f t="shared" si="2"/>
        <v>1.2037</v>
      </c>
      <c r="R35">
        <f t="shared" si="2"/>
        <v>1.1657000000000002</v>
      </c>
      <c r="S35" s="5"/>
      <c r="T35" s="5"/>
    </row>
    <row r="36" spans="2:20" x14ac:dyDescent="0.25">
      <c r="B36" s="5"/>
      <c r="C36" s="48"/>
      <c r="D36" s="49"/>
      <c r="E36" s="50">
        <f>ABS(Ilmanvaihtolaskelma!I34/Ilmanvaihtolaskelma!I30-1)</f>
        <v>4.8387096774193505E-2</v>
      </c>
      <c r="F36" s="49" t="s">
        <v>79</v>
      </c>
      <c r="G36" s="49"/>
      <c r="H36" s="51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</row>
    <row r="37" spans="2:20" x14ac:dyDescent="0.25">
      <c r="K37" t="s">
        <v>89</v>
      </c>
      <c r="L37" t="s">
        <v>85</v>
      </c>
    </row>
    <row r="38" spans="2:20" x14ac:dyDescent="0.25">
      <c r="K38">
        <v>9.2639999999999993</v>
      </c>
      <c r="L38">
        <v>-30</v>
      </c>
    </row>
    <row r="39" spans="2:20" x14ac:dyDescent="0.25">
      <c r="K39">
        <f>K38*SQRT((0.00002*20^2 - 0.0048*20 + 1.2917)/(0.00002*L38^2 - 0.0048*L38 + 1.2917))</f>
        <v>8.4298584344585539</v>
      </c>
    </row>
  </sheetData>
  <mergeCells count="23">
    <mergeCell ref="Q29:Q30"/>
    <mergeCell ref="R29:R30"/>
    <mergeCell ref="S29:S30"/>
    <mergeCell ref="T29:T30"/>
    <mergeCell ref="Q4:Q5"/>
    <mergeCell ref="R4:R5"/>
    <mergeCell ref="S4:S5"/>
    <mergeCell ref="T4:T5"/>
    <mergeCell ref="L29:L30"/>
    <mergeCell ref="M29:M30"/>
    <mergeCell ref="N29:N30"/>
    <mergeCell ref="O29:O30"/>
    <mergeCell ref="P29:P30"/>
    <mergeCell ref="L4:L5"/>
    <mergeCell ref="M4:M5"/>
    <mergeCell ref="N4:N5"/>
    <mergeCell ref="O4:O5"/>
    <mergeCell ref="P4:P5"/>
    <mergeCell ref="D5:E5"/>
    <mergeCell ref="B5:C5"/>
    <mergeCell ref="H5:I5"/>
    <mergeCell ref="J5:J6"/>
    <mergeCell ref="F5:G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Ilmanvaihtolaskelma</vt:lpstr>
      <vt:lpstr>Venttiilit</vt:lpstr>
      <vt:lpstr>Kaavat</vt:lpstr>
      <vt:lpstr>Laskut</vt:lpstr>
      <vt:lpstr>päätelaitteet.</vt:lpstr>
      <vt:lpstr>Ilmanvaihtolaskelma!Print_Area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2016-12-22T20:14:28Z</dcterms:created>
  <dcterms:modified xsi:type="dcterms:W3CDTF">2025-01-20T21:03:47Z</dcterms:modified>
</cp:coreProperties>
</file>