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ain\Oma Drive\Sähkö\Kulutusseuranta\"/>
    </mc:Choice>
  </mc:AlternateContent>
  <bookViews>
    <workbookView xWindow="0" yWindow="0" windowWidth="16380" windowHeight="8196" tabRatio="500"/>
  </bookViews>
  <sheets>
    <sheet name="2025" sheetId="24" r:id="rId1"/>
    <sheet name="Sähkönkulutus" sheetId="2" r:id="rId2"/>
    <sheet name="Norm.Lämmityssähkö" sheetId="3" r:id="rId3"/>
    <sheet name="Ominaislämmönkulutus" sheetId="4" r:id="rId4"/>
    <sheet name="Astepäiväkuvaaja" sheetId="5" r:id="rId5"/>
    <sheet name="2024" sheetId="1" r:id="rId6"/>
    <sheet name="2023" sheetId="6" r:id="rId7"/>
    <sheet name="2022" sheetId="7" r:id="rId8"/>
    <sheet name="2021" sheetId="8" r:id="rId9"/>
    <sheet name="2020" sheetId="9" r:id="rId10"/>
    <sheet name="2019" sheetId="10" r:id="rId11"/>
    <sheet name="2018" sheetId="11" r:id="rId12"/>
    <sheet name="2017" sheetId="12" r:id="rId13"/>
    <sheet name="2016" sheetId="13" r:id="rId14"/>
    <sheet name="2015" sheetId="14" r:id="rId15"/>
    <sheet name="2014" sheetId="15" r:id="rId16"/>
    <sheet name="2013" sheetId="16" r:id="rId17"/>
    <sheet name="2012" sheetId="17" r:id="rId18"/>
    <sheet name="2011" sheetId="18" r:id="rId19"/>
    <sheet name="2010" sheetId="19" r:id="rId20"/>
    <sheet name="2009" sheetId="20" r:id="rId21"/>
    <sheet name="2008" sheetId="21" r:id="rId22"/>
    <sheet name="2007" sheetId="22" r:id="rId23"/>
    <sheet name="Taul2" sheetId="23" r:id="rId24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13" i="24" l="1"/>
  <c r="T15" i="24"/>
  <c r="P170" i="24" l="1"/>
  <c r="R170" i="24"/>
  <c r="O170" i="24"/>
  <c r="R169" i="24"/>
  <c r="P169" i="24"/>
  <c r="O169" i="24"/>
  <c r="N169" i="24"/>
  <c r="N170" i="24"/>
  <c r="E169" i="24"/>
  <c r="F169" i="24" s="1"/>
  <c r="E170" i="24"/>
  <c r="F170" i="24" s="1"/>
  <c r="L15" i="24" l="1"/>
  <c r="R168" i="24" l="1"/>
  <c r="O168" i="24"/>
  <c r="P168" i="24"/>
  <c r="N168" i="24"/>
  <c r="E168" i="24"/>
  <c r="F168" i="24" s="1"/>
  <c r="I14" i="24" l="1"/>
  <c r="R167" i="24" l="1"/>
  <c r="O167" i="24"/>
  <c r="P167" i="24"/>
  <c r="N167" i="24"/>
  <c r="E167" i="24"/>
  <c r="F167" i="24" s="1"/>
  <c r="H15" i="24" l="1"/>
  <c r="P166" i="24"/>
  <c r="O166" i="24"/>
  <c r="R166" i="24" s="1"/>
  <c r="N166" i="24"/>
  <c r="N165" i="24"/>
  <c r="E166" i="24"/>
  <c r="F166" i="24" s="1"/>
  <c r="T10" i="24" l="1"/>
  <c r="R165" i="24" l="1"/>
  <c r="P165" i="24"/>
  <c r="O165" i="24"/>
  <c r="N164" i="24"/>
  <c r="E165" i="24"/>
  <c r="F165" i="24" s="1"/>
  <c r="R122" i="24" l="1"/>
  <c r="R123" i="24"/>
  <c r="R124" i="24"/>
  <c r="R125" i="24"/>
  <c r="R126" i="24"/>
  <c r="R127" i="24"/>
  <c r="R128" i="24"/>
  <c r="R129" i="24"/>
  <c r="R131" i="24"/>
  <c r="R133" i="24"/>
  <c r="R134" i="24"/>
  <c r="R135" i="24"/>
  <c r="R136" i="24"/>
  <c r="R137" i="24"/>
  <c r="R138" i="24"/>
  <c r="R139" i="24"/>
  <c r="R140" i="24"/>
  <c r="R141" i="24"/>
  <c r="R142" i="24"/>
  <c r="R143" i="24"/>
  <c r="R144" i="24"/>
  <c r="R145" i="24"/>
  <c r="R146" i="24"/>
  <c r="R147" i="24"/>
  <c r="R148" i="24"/>
  <c r="R149" i="24"/>
  <c r="R150" i="24"/>
  <c r="R151" i="24"/>
  <c r="R152" i="24"/>
  <c r="R153" i="24"/>
  <c r="R154" i="24"/>
  <c r="R155" i="24"/>
  <c r="R156" i="24"/>
  <c r="R157" i="24"/>
  <c r="R158" i="24"/>
  <c r="R159" i="24"/>
  <c r="R160" i="24"/>
  <c r="R161" i="24"/>
  <c r="R162" i="24"/>
  <c r="R163" i="24"/>
  <c r="R164" i="24"/>
  <c r="O164" i="24"/>
  <c r="P164" i="24"/>
  <c r="E164" i="24"/>
  <c r="F164" i="24" s="1"/>
  <c r="P163" i="24" l="1"/>
  <c r="O163" i="24"/>
  <c r="N163" i="24"/>
  <c r="E163" i="24"/>
  <c r="F163" i="24" s="1"/>
  <c r="P162" i="24"/>
  <c r="O162" i="24"/>
  <c r="N162" i="24"/>
  <c r="E162" i="24"/>
  <c r="F162" i="24" s="1"/>
  <c r="P161" i="24"/>
  <c r="O161" i="24"/>
  <c r="N161" i="24"/>
  <c r="E161" i="24"/>
  <c r="F161" i="24" s="1"/>
  <c r="P160" i="24"/>
  <c r="O160" i="24"/>
  <c r="N160" i="24"/>
  <c r="E160" i="24"/>
  <c r="F160" i="24" s="1"/>
  <c r="P159" i="24"/>
  <c r="O159" i="24"/>
  <c r="N159" i="24"/>
  <c r="E159" i="24"/>
  <c r="F159" i="24" s="1"/>
  <c r="P158" i="24"/>
  <c r="O158" i="24"/>
  <c r="N158" i="24"/>
  <c r="E158" i="24"/>
  <c r="F158" i="24" s="1"/>
  <c r="P157" i="24"/>
  <c r="O157" i="24"/>
  <c r="N157" i="24"/>
  <c r="F157" i="24"/>
  <c r="E157" i="24"/>
  <c r="P156" i="24"/>
  <c r="O156" i="24"/>
  <c r="N156" i="24"/>
  <c r="E156" i="24"/>
  <c r="F156" i="24" s="1"/>
  <c r="P155" i="24"/>
  <c r="O155" i="24"/>
  <c r="N155" i="24"/>
  <c r="F155" i="24"/>
  <c r="E155" i="24"/>
  <c r="P154" i="24"/>
  <c r="O154" i="24"/>
  <c r="N154" i="24"/>
  <c r="E154" i="24"/>
  <c r="F154" i="24" s="1"/>
  <c r="P153" i="24"/>
  <c r="O153" i="24"/>
  <c r="N153" i="24"/>
  <c r="E153" i="24"/>
  <c r="F153" i="24" s="1"/>
  <c r="P152" i="24"/>
  <c r="O152" i="24"/>
  <c r="N152" i="24"/>
  <c r="E152" i="24"/>
  <c r="F152" i="24" s="1"/>
  <c r="P151" i="24"/>
  <c r="O151" i="24"/>
  <c r="N151" i="24"/>
  <c r="F151" i="24"/>
  <c r="E151" i="24"/>
  <c r="P150" i="24"/>
  <c r="O150" i="24"/>
  <c r="N150" i="24"/>
  <c r="E150" i="24"/>
  <c r="F150" i="24" s="1"/>
  <c r="P149" i="24"/>
  <c r="O149" i="24"/>
  <c r="N149" i="24"/>
  <c r="F149" i="24"/>
  <c r="E149" i="24"/>
  <c r="P148" i="24"/>
  <c r="O148" i="24"/>
  <c r="N148" i="24"/>
  <c r="E148" i="24"/>
  <c r="F148" i="24" s="1"/>
  <c r="P147" i="24"/>
  <c r="O147" i="24"/>
  <c r="N147" i="24"/>
  <c r="F147" i="24"/>
  <c r="E147" i="24"/>
  <c r="P146" i="24"/>
  <c r="O146" i="24"/>
  <c r="N146" i="24"/>
  <c r="E146" i="24"/>
  <c r="F146" i="24" s="1"/>
  <c r="P145" i="24"/>
  <c r="O145" i="24"/>
  <c r="N145" i="24"/>
  <c r="E145" i="24"/>
  <c r="F145" i="24" s="1"/>
  <c r="P144" i="24"/>
  <c r="O144" i="24"/>
  <c r="N144" i="24"/>
  <c r="E144" i="24"/>
  <c r="F144" i="24" s="1"/>
  <c r="P143" i="24"/>
  <c r="O143" i="24"/>
  <c r="N143" i="24"/>
  <c r="F143" i="24"/>
  <c r="E143" i="24"/>
  <c r="P142" i="24"/>
  <c r="O142" i="24"/>
  <c r="N142" i="24"/>
  <c r="E142" i="24"/>
  <c r="F142" i="24" s="1"/>
  <c r="P141" i="24"/>
  <c r="O141" i="24"/>
  <c r="N141" i="24"/>
  <c r="F141" i="24"/>
  <c r="E141" i="24"/>
  <c r="P140" i="24"/>
  <c r="O140" i="24"/>
  <c r="N140" i="24"/>
  <c r="E140" i="24"/>
  <c r="F140" i="24" s="1"/>
  <c r="P139" i="24"/>
  <c r="O139" i="24"/>
  <c r="N139" i="24"/>
  <c r="F139" i="24"/>
  <c r="E139" i="24"/>
  <c r="P138" i="24"/>
  <c r="O138" i="24"/>
  <c r="N138" i="24"/>
  <c r="E138" i="24"/>
  <c r="F138" i="24" s="1"/>
  <c r="P137" i="24"/>
  <c r="O137" i="24"/>
  <c r="N137" i="24"/>
  <c r="E137" i="24"/>
  <c r="F137" i="24" s="1"/>
  <c r="P136" i="24"/>
  <c r="O136" i="24"/>
  <c r="N136" i="24"/>
  <c r="E136" i="24"/>
  <c r="F136" i="24" s="1"/>
  <c r="P135" i="24"/>
  <c r="O135" i="24"/>
  <c r="N135" i="24"/>
  <c r="F135" i="24"/>
  <c r="E135" i="24"/>
  <c r="P134" i="24"/>
  <c r="O134" i="24"/>
  <c r="N134" i="24"/>
  <c r="E134" i="24"/>
  <c r="F134" i="24" s="1"/>
  <c r="P133" i="24"/>
  <c r="O133" i="24"/>
  <c r="N133" i="24"/>
  <c r="F133" i="24"/>
  <c r="E133" i="24"/>
  <c r="O132" i="24"/>
  <c r="N132" i="24"/>
  <c r="E132" i="24"/>
  <c r="F132" i="24" s="1"/>
  <c r="P131" i="24"/>
  <c r="O131" i="24"/>
  <c r="N131" i="24"/>
  <c r="E131" i="24"/>
  <c r="F131" i="24" s="1"/>
  <c r="N130" i="24"/>
  <c r="E130" i="24"/>
  <c r="F130" i="24" s="1"/>
  <c r="P129" i="24"/>
  <c r="O129" i="24"/>
  <c r="N129" i="24"/>
  <c r="E129" i="24"/>
  <c r="F129" i="24" s="1"/>
  <c r="P128" i="24"/>
  <c r="O128" i="24"/>
  <c r="N128" i="24"/>
  <c r="F128" i="24"/>
  <c r="E128" i="24"/>
  <c r="P127" i="24"/>
  <c r="O127" i="24"/>
  <c r="N127" i="24"/>
  <c r="E127" i="24"/>
  <c r="F127" i="24" s="1"/>
  <c r="P126" i="24"/>
  <c r="O126" i="24"/>
  <c r="N126" i="24"/>
  <c r="E126" i="24"/>
  <c r="F126" i="24" s="1"/>
  <c r="P125" i="24"/>
  <c r="O125" i="24"/>
  <c r="N125" i="24"/>
  <c r="E125" i="24"/>
  <c r="F125" i="24" s="1"/>
  <c r="P124" i="24"/>
  <c r="O124" i="24"/>
  <c r="N124" i="24"/>
  <c r="F124" i="24"/>
  <c r="E124" i="24"/>
  <c r="P123" i="24"/>
  <c r="O123" i="24"/>
  <c r="N123" i="24"/>
  <c r="E123" i="24"/>
  <c r="F123" i="24" s="1"/>
  <c r="P122" i="24"/>
  <c r="O122" i="24"/>
  <c r="N122" i="24"/>
  <c r="E122" i="24"/>
  <c r="F122" i="24" s="1"/>
  <c r="P121" i="24"/>
  <c r="N121" i="24"/>
  <c r="E121" i="24"/>
  <c r="F121" i="24" s="1"/>
  <c r="P120" i="24"/>
  <c r="N120" i="24"/>
  <c r="E120" i="24"/>
  <c r="F120" i="24" s="1"/>
  <c r="N119" i="24"/>
  <c r="E119" i="24"/>
  <c r="F119" i="24" s="1"/>
  <c r="P118" i="24"/>
  <c r="N118" i="24"/>
  <c r="E118" i="24"/>
  <c r="F118" i="24" s="1"/>
  <c r="N117" i="24"/>
  <c r="E117" i="24"/>
  <c r="F117" i="24" s="1"/>
  <c r="N116" i="24"/>
  <c r="F116" i="24"/>
  <c r="E116" i="24"/>
  <c r="P115" i="24"/>
  <c r="N115" i="24"/>
  <c r="F115" i="24"/>
  <c r="E115" i="24"/>
  <c r="N114" i="24"/>
  <c r="E114" i="24"/>
  <c r="F114" i="24" s="1"/>
  <c r="P113" i="24"/>
  <c r="N113" i="24"/>
  <c r="E113" i="24"/>
  <c r="F113" i="24" s="1"/>
  <c r="P112" i="24"/>
  <c r="N112" i="24"/>
  <c r="E112" i="24"/>
  <c r="F112" i="24" s="1"/>
  <c r="N111" i="24"/>
  <c r="E111" i="24"/>
  <c r="F111" i="24" s="1"/>
  <c r="P110" i="24"/>
  <c r="N110" i="24"/>
  <c r="E110" i="24"/>
  <c r="F110" i="24" s="1"/>
  <c r="N109" i="24"/>
  <c r="E109" i="24"/>
  <c r="F109" i="24" s="1"/>
  <c r="P108" i="24"/>
  <c r="N108" i="24"/>
  <c r="E108" i="24"/>
  <c r="F108" i="24" s="1"/>
  <c r="P107" i="24"/>
  <c r="N107" i="24"/>
  <c r="E107" i="24"/>
  <c r="F107" i="24" s="1"/>
  <c r="P106" i="24"/>
  <c r="N106" i="24"/>
  <c r="E106" i="24"/>
  <c r="F106" i="24" s="1"/>
  <c r="P105" i="24"/>
  <c r="N105" i="24"/>
  <c r="E105" i="24"/>
  <c r="F105" i="24" s="1"/>
  <c r="N104" i="24"/>
  <c r="G104" i="24"/>
  <c r="H104" i="24" s="1"/>
  <c r="E104" i="24"/>
  <c r="F104" i="24" s="1"/>
  <c r="N103" i="24"/>
  <c r="E103" i="24"/>
  <c r="F103" i="24" s="1"/>
  <c r="P102" i="24"/>
  <c r="N102" i="24"/>
  <c r="E102" i="24"/>
  <c r="F102" i="24" s="1"/>
  <c r="P101" i="24"/>
  <c r="N101" i="24"/>
  <c r="E101" i="24"/>
  <c r="F101" i="24" s="1"/>
  <c r="N100" i="24"/>
  <c r="E100" i="24"/>
  <c r="F100" i="24" s="1"/>
  <c r="E99" i="24"/>
  <c r="F99" i="24" s="1"/>
  <c r="P98" i="24"/>
  <c r="N98" i="24"/>
  <c r="E98" i="24"/>
  <c r="F98" i="24" s="1"/>
  <c r="N97" i="24"/>
  <c r="F97" i="24"/>
  <c r="E97" i="24"/>
  <c r="N96" i="24"/>
  <c r="E96" i="24"/>
  <c r="F96" i="24" s="1"/>
  <c r="P95" i="24"/>
  <c r="N95" i="24"/>
  <c r="H95" i="24"/>
  <c r="E95" i="24"/>
  <c r="F95" i="24" s="1"/>
  <c r="N94" i="24"/>
  <c r="H94" i="24"/>
  <c r="E94" i="24"/>
  <c r="F94" i="24" s="1"/>
  <c r="N93" i="24"/>
  <c r="K93" i="24"/>
  <c r="H93" i="24"/>
  <c r="E93" i="24"/>
  <c r="F93" i="24" s="1"/>
  <c r="K92" i="24"/>
  <c r="H92" i="24"/>
  <c r="E92" i="24"/>
  <c r="F92" i="24" s="1"/>
  <c r="H91" i="24"/>
  <c r="E91" i="24"/>
  <c r="F91" i="24" s="1"/>
  <c r="F90" i="24"/>
  <c r="E90" i="24"/>
  <c r="J89" i="24"/>
  <c r="E89" i="24"/>
  <c r="F89" i="24" s="1"/>
  <c r="J88" i="24"/>
  <c r="E88" i="24"/>
  <c r="F88" i="24" s="1"/>
  <c r="F87" i="24"/>
  <c r="E87" i="24"/>
  <c r="E86" i="24"/>
  <c r="F86" i="24" s="1"/>
  <c r="H85" i="24"/>
  <c r="E85" i="24"/>
  <c r="F85" i="24" s="1"/>
  <c r="H84" i="24"/>
  <c r="F84" i="24"/>
  <c r="E84" i="24"/>
  <c r="H83" i="24"/>
  <c r="E83" i="24"/>
  <c r="F83" i="24" s="1"/>
  <c r="H82" i="24"/>
  <c r="E82" i="24"/>
  <c r="F82" i="24" s="1"/>
  <c r="H81" i="24"/>
  <c r="E81" i="24"/>
  <c r="F81" i="24" s="1"/>
  <c r="H80" i="24"/>
  <c r="F80" i="24"/>
  <c r="E80" i="24"/>
  <c r="G79" i="24"/>
  <c r="H79" i="24" s="1"/>
  <c r="F79" i="24"/>
  <c r="E79" i="24"/>
  <c r="L78" i="24"/>
  <c r="F78" i="24"/>
  <c r="E78" i="24"/>
  <c r="E77" i="24"/>
  <c r="F77" i="24" s="1"/>
  <c r="H76" i="24"/>
  <c r="E76" i="24"/>
  <c r="F76" i="24" s="1"/>
  <c r="H75" i="24"/>
  <c r="F75" i="24"/>
  <c r="E75" i="24"/>
  <c r="H74" i="24"/>
  <c r="E74" i="24"/>
  <c r="F74" i="24" s="1"/>
  <c r="G73" i="24"/>
  <c r="H73" i="24" s="1"/>
  <c r="E73" i="24"/>
  <c r="F73" i="24" s="1"/>
  <c r="H72" i="24"/>
  <c r="G72" i="24"/>
  <c r="E72" i="24"/>
  <c r="F72" i="24" s="1"/>
  <c r="G71" i="24"/>
  <c r="H71" i="24" s="1"/>
  <c r="E71" i="24"/>
  <c r="F71" i="24" s="1"/>
  <c r="H70" i="24"/>
  <c r="G70" i="24"/>
  <c r="E70" i="24"/>
  <c r="F70" i="24" s="1"/>
  <c r="L69" i="24"/>
  <c r="H69" i="24"/>
  <c r="G69" i="24"/>
  <c r="F69" i="24"/>
  <c r="E69" i="24"/>
  <c r="H68" i="24"/>
  <c r="E68" i="24"/>
  <c r="F68" i="24" s="1"/>
  <c r="L67" i="24"/>
  <c r="H67" i="24"/>
  <c r="E67" i="24"/>
  <c r="F67" i="24" s="1"/>
  <c r="L66" i="24"/>
  <c r="H66" i="24"/>
  <c r="E66" i="24"/>
  <c r="F66" i="24" s="1"/>
  <c r="L65" i="24"/>
  <c r="H65" i="24"/>
  <c r="E65" i="24"/>
  <c r="F65" i="24" s="1"/>
  <c r="L64" i="24"/>
  <c r="G64" i="24"/>
  <c r="H64" i="24" s="1"/>
  <c r="F64" i="24"/>
  <c r="E64" i="24"/>
  <c r="N63" i="24"/>
  <c r="L63" i="24"/>
  <c r="P63" i="24" s="1"/>
  <c r="H63" i="24"/>
  <c r="E63" i="24"/>
  <c r="F63" i="24" s="1"/>
  <c r="H62" i="24"/>
  <c r="G62" i="24"/>
  <c r="F62" i="24"/>
  <c r="E62" i="24"/>
  <c r="H61" i="24"/>
  <c r="G61" i="24"/>
  <c r="E61" i="24"/>
  <c r="F61" i="24" s="1"/>
  <c r="H60" i="24"/>
  <c r="G60" i="24"/>
  <c r="F60" i="24"/>
  <c r="E60" i="24"/>
  <c r="I59" i="24"/>
  <c r="F59" i="24"/>
  <c r="E59" i="24"/>
  <c r="E58" i="24"/>
  <c r="F58" i="24" s="1"/>
  <c r="E57" i="24"/>
  <c r="F57" i="24" s="1"/>
  <c r="H56" i="24"/>
  <c r="F56" i="24"/>
  <c r="E56" i="24"/>
  <c r="O55" i="24"/>
  <c r="H55" i="24"/>
  <c r="F55" i="24"/>
  <c r="E55" i="24"/>
  <c r="H54" i="24"/>
  <c r="E54" i="24"/>
  <c r="F54" i="24" s="1"/>
  <c r="H53" i="24"/>
  <c r="E53" i="24"/>
  <c r="F53" i="24" s="1"/>
  <c r="H52" i="24"/>
  <c r="E52" i="24"/>
  <c r="F52" i="24" s="1"/>
  <c r="H51" i="24"/>
  <c r="F51" i="24"/>
  <c r="E51" i="24"/>
  <c r="D38" i="24"/>
  <c r="N37" i="24"/>
  <c r="D37" i="24"/>
  <c r="F37" i="24" s="1"/>
  <c r="K36" i="24"/>
  <c r="K37" i="24" s="1"/>
  <c r="D36" i="24"/>
  <c r="F36" i="24" s="1"/>
  <c r="K24" i="24"/>
  <c r="J24" i="24"/>
  <c r="I24" i="24"/>
  <c r="O20" i="24"/>
  <c r="N20" i="24"/>
  <c r="M20" i="24"/>
  <c r="L20" i="24"/>
  <c r="K20" i="24"/>
  <c r="J20" i="24"/>
  <c r="I20" i="24"/>
  <c r="H20" i="24"/>
  <c r="G20" i="24"/>
  <c r="F20" i="24"/>
  <c r="E20" i="24"/>
  <c r="D20" i="24"/>
  <c r="O19" i="24"/>
  <c r="N19" i="24"/>
  <c r="M19" i="24"/>
  <c r="L19" i="24"/>
  <c r="K19" i="24"/>
  <c r="J19" i="24"/>
  <c r="I19" i="24"/>
  <c r="H19" i="24"/>
  <c r="G19" i="24"/>
  <c r="F19" i="24"/>
  <c r="E19" i="24"/>
  <c r="D19" i="24"/>
  <c r="O18" i="24"/>
  <c r="N18" i="24"/>
  <c r="M18" i="24"/>
  <c r="L18" i="24"/>
  <c r="K18" i="24"/>
  <c r="J18" i="24"/>
  <c r="I18" i="24"/>
  <c r="H18" i="24"/>
  <c r="G18" i="24"/>
  <c r="F18" i="24"/>
  <c r="E18" i="24"/>
  <c r="D18" i="24"/>
  <c r="M15" i="24"/>
  <c r="M31" i="24" s="1"/>
  <c r="L31" i="24"/>
  <c r="K15" i="24"/>
  <c r="J15" i="24"/>
  <c r="I15" i="24"/>
  <c r="G15" i="24"/>
  <c r="G30" i="24" s="1"/>
  <c r="M14" i="24"/>
  <c r="M26" i="24" s="1"/>
  <c r="L14" i="24"/>
  <c r="L29" i="24" s="1"/>
  <c r="H14" i="24"/>
  <c r="H28" i="24" s="1"/>
  <c r="H32" i="24" s="1"/>
  <c r="G14" i="24"/>
  <c r="F14" i="24"/>
  <c r="F29" i="24" s="1"/>
  <c r="O13" i="24"/>
  <c r="O14" i="24" s="1"/>
  <c r="N13" i="24"/>
  <c r="N14" i="24" s="1"/>
  <c r="M13" i="24"/>
  <c r="L13" i="24"/>
  <c r="K13" i="24"/>
  <c r="J13" i="24"/>
  <c r="I13" i="24"/>
  <c r="H13" i="24"/>
  <c r="G13" i="24"/>
  <c r="F13" i="24"/>
  <c r="E13" i="24"/>
  <c r="E14" i="24" s="1"/>
  <c r="D13" i="24"/>
  <c r="P13" i="24" s="1"/>
  <c r="P11" i="24"/>
  <c r="P10" i="24"/>
  <c r="P9" i="24"/>
  <c r="P8" i="24"/>
  <c r="P7" i="24"/>
  <c r="K4" i="24"/>
  <c r="F4" i="24"/>
  <c r="G28" i="24" l="1"/>
  <c r="G32" i="24" s="1"/>
  <c r="I21" i="24"/>
  <c r="H31" i="24"/>
  <c r="L26" i="24"/>
  <c r="E29" i="24"/>
  <c r="E25" i="24"/>
  <c r="E15" i="24"/>
  <c r="E24" i="24"/>
  <c r="E26" i="24"/>
  <c r="E28" i="24"/>
  <c r="E32" i="24" s="1"/>
  <c r="N26" i="24"/>
  <c r="N28" i="24"/>
  <c r="N32" i="24" s="1"/>
  <c r="N24" i="24"/>
  <c r="N25" i="24"/>
  <c r="N29" i="24"/>
  <c r="N15" i="24"/>
  <c r="K39" i="24"/>
  <c r="K38" i="24"/>
  <c r="O26" i="24"/>
  <c r="O29" i="24"/>
  <c r="O25" i="24"/>
  <c r="O15" i="24"/>
  <c r="O28" i="24"/>
  <c r="O32" i="24" s="1"/>
  <c r="O24" i="24"/>
  <c r="H24" i="24"/>
  <c r="G31" i="24"/>
  <c r="D14" i="24"/>
  <c r="L24" i="24"/>
  <c r="G25" i="24"/>
  <c r="L28" i="24"/>
  <c r="L32" i="24" s="1"/>
  <c r="G29" i="24"/>
  <c r="F15" i="24"/>
  <c r="G27" i="24"/>
  <c r="L30" i="24"/>
  <c r="M24" i="24"/>
  <c r="H25" i="24"/>
  <c r="F26" i="24"/>
  <c r="M28" i="24"/>
  <c r="M32" i="24" s="1"/>
  <c r="H29" i="24"/>
  <c r="F24" i="24"/>
  <c r="L25" i="24"/>
  <c r="G26" i="24"/>
  <c r="M78" i="24"/>
  <c r="G24" i="24"/>
  <c r="M25" i="24"/>
  <c r="H26" i="24"/>
  <c r="M29" i="24"/>
  <c r="F28" i="24"/>
  <c r="F32" i="24" s="1"/>
  <c r="M30" i="24"/>
  <c r="L27" i="24"/>
  <c r="F25" i="24"/>
  <c r="M27" i="24"/>
  <c r="P8" i="17"/>
  <c r="H27" i="24" l="1"/>
  <c r="H30" i="24"/>
  <c r="O30" i="24"/>
  <c r="O31" i="24"/>
  <c r="O27" i="24"/>
  <c r="F31" i="24"/>
  <c r="F27" i="24"/>
  <c r="F30" i="24"/>
  <c r="N30" i="24"/>
  <c r="N31" i="24"/>
  <c r="N27" i="24"/>
  <c r="D26" i="24"/>
  <c r="O21" i="24"/>
  <c r="G21" i="24"/>
  <c r="N21" i="24"/>
  <c r="F21" i="24"/>
  <c r="D29" i="24"/>
  <c r="D25" i="24"/>
  <c r="M21" i="24"/>
  <c r="E21" i="24"/>
  <c r="D15" i="24"/>
  <c r="D28" i="24"/>
  <c r="D32" i="24" s="1"/>
  <c r="K21" i="24"/>
  <c r="J21" i="24"/>
  <c r="P14" i="24"/>
  <c r="L21" i="24"/>
  <c r="D24" i="24"/>
  <c r="H21" i="24"/>
  <c r="D21" i="24"/>
  <c r="E31" i="24"/>
  <c r="E27" i="24"/>
  <c r="E30" i="24"/>
  <c r="P10" i="1"/>
  <c r="N163" i="1"/>
  <c r="P163" i="1"/>
  <c r="N162" i="1"/>
  <c r="O162" i="1"/>
  <c r="O163" i="1"/>
  <c r="E163" i="1"/>
  <c r="F163" i="1" s="1"/>
  <c r="P25" i="24" l="1"/>
  <c r="P28" i="24"/>
  <c r="P32" i="24" s="1"/>
  <c r="P24" i="24"/>
  <c r="P26" i="24"/>
  <c r="P29" i="24"/>
  <c r="D30" i="24"/>
  <c r="P15" i="24"/>
  <c r="D31" i="24"/>
  <c r="D27" i="24"/>
  <c r="O24" i="1"/>
  <c r="P31" i="24" l="1"/>
  <c r="P27" i="24"/>
  <c r="P30" i="24"/>
  <c r="Q11" i="22"/>
  <c r="M14" i="1"/>
  <c r="O14" i="1"/>
  <c r="T15" i="1"/>
  <c r="P9" i="1"/>
  <c r="N14" i="1" l="1"/>
  <c r="T10" i="6" l="1"/>
  <c r="R15" i="6"/>
  <c r="T10" i="1"/>
  <c r="R10" i="6"/>
  <c r="R11" i="6"/>
  <c r="R9" i="6"/>
  <c r="P162" i="1" l="1"/>
  <c r="F162" i="1"/>
  <c r="E162" i="1"/>
  <c r="K4" i="1" l="1"/>
  <c r="H14" i="1"/>
  <c r="P161" i="1" l="1"/>
  <c r="O161" i="1"/>
  <c r="N161" i="1"/>
  <c r="E161" i="1"/>
  <c r="F161" i="1" s="1"/>
  <c r="M29" i="1" l="1"/>
  <c r="N29" i="1"/>
  <c r="O29" i="1"/>
  <c r="L29" i="1"/>
  <c r="H29" i="1"/>
  <c r="M26" i="1"/>
  <c r="N26" i="1"/>
  <c r="O26" i="1"/>
  <c r="L26" i="1"/>
  <c r="H26" i="1"/>
  <c r="H28" i="1"/>
  <c r="L28" i="1"/>
  <c r="M28" i="1"/>
  <c r="N28" i="1"/>
  <c r="O28" i="1"/>
  <c r="H15" i="1"/>
  <c r="L15" i="1"/>
  <c r="N15" i="1"/>
  <c r="O15" i="1"/>
  <c r="M15" i="1"/>
  <c r="L14" i="1" l="1"/>
  <c r="N160" i="1" l="1"/>
  <c r="O160" i="1"/>
  <c r="P160" i="1"/>
  <c r="E160" i="1"/>
  <c r="F160" i="1" s="1"/>
  <c r="D36" i="1" l="1"/>
  <c r="P159" i="1" l="1"/>
  <c r="O159" i="1"/>
  <c r="N159" i="1"/>
  <c r="E159" i="1"/>
  <c r="F159" i="1" s="1"/>
  <c r="P158" i="1" l="1"/>
  <c r="O158" i="1"/>
  <c r="N158" i="1"/>
  <c r="E158" i="1"/>
  <c r="F158" i="1" s="1"/>
  <c r="O157" i="1" l="1"/>
  <c r="P11" i="1" l="1"/>
  <c r="P157" i="1"/>
  <c r="N157" i="1"/>
  <c r="E157" i="1"/>
  <c r="F157" i="1" s="1"/>
  <c r="N156" i="1" l="1"/>
  <c r="P156" i="1" l="1"/>
  <c r="O156" i="1"/>
  <c r="E156" i="1"/>
  <c r="F156" i="1" s="1"/>
  <c r="P8" i="1" l="1"/>
  <c r="P155" i="1" l="1"/>
  <c r="O155" i="1"/>
  <c r="N155" i="1"/>
  <c r="E155" i="1"/>
  <c r="F155" i="1" s="1"/>
  <c r="P152" i="1" l="1"/>
  <c r="P153" i="1"/>
  <c r="P154" i="1"/>
  <c r="O154" i="1"/>
  <c r="N154" i="1"/>
  <c r="E154" i="1"/>
  <c r="F154" i="1" s="1"/>
  <c r="O153" i="1" l="1"/>
  <c r="N153" i="1"/>
  <c r="F153" i="1"/>
  <c r="E153" i="1"/>
  <c r="B36" i="23"/>
  <c r="B38" i="23" s="1"/>
  <c r="E35" i="23"/>
  <c r="F36" i="23" s="1"/>
  <c r="C35" i="23"/>
  <c r="B35" i="23"/>
  <c r="I36" i="22"/>
  <c r="L35" i="22"/>
  <c r="D35" i="22"/>
  <c r="F35" i="22" s="1"/>
  <c r="F34" i="22"/>
  <c r="D34" i="22"/>
  <c r="J32" i="22"/>
  <c r="K31" i="22"/>
  <c r="K30" i="22"/>
  <c r="K29" i="22"/>
  <c r="J29" i="22"/>
  <c r="K28" i="22"/>
  <c r="K32" i="22" s="1"/>
  <c r="J28" i="22"/>
  <c r="K27" i="22"/>
  <c r="J27" i="22"/>
  <c r="K26" i="22"/>
  <c r="J26" i="22"/>
  <c r="D26" i="22"/>
  <c r="L25" i="22"/>
  <c r="K25" i="22"/>
  <c r="D24" i="22"/>
  <c r="D21" i="22"/>
  <c r="G20" i="22"/>
  <c r="D20" i="22"/>
  <c r="O19" i="22"/>
  <c r="M19" i="22"/>
  <c r="L19" i="22"/>
  <c r="J19" i="22"/>
  <c r="I19" i="22"/>
  <c r="G19" i="22"/>
  <c r="D19" i="22"/>
  <c r="K16" i="22"/>
  <c r="J16" i="22"/>
  <c r="G16" i="22"/>
  <c r="L15" i="22"/>
  <c r="I15" i="22"/>
  <c r="E15" i="22"/>
  <c r="D15" i="22"/>
  <c r="O14" i="22"/>
  <c r="O15" i="22" s="1"/>
  <c r="N14" i="22"/>
  <c r="M14" i="22"/>
  <c r="L14" i="22"/>
  <c r="K14" i="22"/>
  <c r="J14" i="22"/>
  <c r="I14" i="22"/>
  <c r="H14" i="22"/>
  <c r="G14" i="22"/>
  <c r="G15" i="22" s="1"/>
  <c r="F14" i="22"/>
  <c r="E14" i="22"/>
  <c r="D14" i="22"/>
  <c r="P13" i="22"/>
  <c r="R13" i="22" s="1"/>
  <c r="T12" i="22"/>
  <c r="P12" i="22"/>
  <c r="R11" i="22"/>
  <c r="O11" i="22"/>
  <c r="N11" i="22"/>
  <c r="M11" i="22"/>
  <c r="L11" i="22"/>
  <c r="K11" i="22"/>
  <c r="I11" i="22"/>
  <c r="G11" i="22"/>
  <c r="F11" i="22"/>
  <c r="E11" i="22"/>
  <c r="D11" i="22"/>
  <c r="R10" i="22"/>
  <c r="P10" i="22"/>
  <c r="P19" i="22" s="1"/>
  <c r="K10" i="22"/>
  <c r="J10" i="22"/>
  <c r="H10" i="22"/>
  <c r="R9" i="22"/>
  <c r="K9" i="22"/>
  <c r="J9" i="22"/>
  <c r="J11" i="22" s="1"/>
  <c r="J24" i="22" s="1"/>
  <c r="H9" i="22"/>
  <c r="P8" i="22"/>
  <c r="P7" i="22"/>
  <c r="F4" i="22"/>
  <c r="D69" i="21"/>
  <c r="C69" i="21"/>
  <c r="C68" i="21"/>
  <c r="D68" i="21" s="1"/>
  <c r="C67" i="21"/>
  <c r="D67" i="21" s="1"/>
  <c r="D66" i="21"/>
  <c r="D39" i="21"/>
  <c r="K38" i="21"/>
  <c r="K39" i="21" s="1"/>
  <c r="J31" i="21"/>
  <c r="F31" i="21"/>
  <c r="J28" i="21"/>
  <c r="F28" i="21"/>
  <c r="D23" i="21"/>
  <c r="J22" i="21"/>
  <c r="I22" i="21"/>
  <c r="H22" i="21"/>
  <c r="G22" i="21"/>
  <c r="F22" i="21"/>
  <c r="E22" i="21"/>
  <c r="D22" i="21"/>
  <c r="F21" i="21"/>
  <c r="E21" i="21"/>
  <c r="O20" i="21"/>
  <c r="G20" i="21"/>
  <c r="E20" i="21"/>
  <c r="J17" i="21"/>
  <c r="O16" i="21"/>
  <c r="F16" i="21"/>
  <c r="D16" i="21"/>
  <c r="O15" i="21"/>
  <c r="N15" i="21"/>
  <c r="M15" i="21"/>
  <c r="L15" i="21"/>
  <c r="K15" i="21"/>
  <c r="J15" i="21"/>
  <c r="I15" i="21"/>
  <c r="H15" i="21"/>
  <c r="P15" i="21" s="1"/>
  <c r="G15" i="21"/>
  <c r="F15" i="21"/>
  <c r="E15" i="21"/>
  <c r="D15" i="21"/>
  <c r="P14" i="21"/>
  <c r="T13" i="21"/>
  <c r="P13" i="21"/>
  <c r="R14" i="21" s="1"/>
  <c r="O12" i="21"/>
  <c r="R12" i="21" s="1"/>
  <c r="N12" i="21"/>
  <c r="M12" i="21"/>
  <c r="L12" i="21"/>
  <c r="K12" i="21"/>
  <c r="O11" i="21"/>
  <c r="L11" i="21"/>
  <c r="K11" i="21"/>
  <c r="I11" i="21"/>
  <c r="I16" i="21" s="1"/>
  <c r="G11" i="21"/>
  <c r="F11" i="21"/>
  <c r="F20" i="21" s="1"/>
  <c r="E11" i="21"/>
  <c r="E16" i="21" s="1"/>
  <c r="D11" i="21"/>
  <c r="R10" i="21"/>
  <c r="O10" i="21"/>
  <c r="N10" i="21"/>
  <c r="M10" i="21"/>
  <c r="L10" i="21"/>
  <c r="K10" i="21"/>
  <c r="J10" i="21"/>
  <c r="H10" i="21"/>
  <c r="O9" i="21"/>
  <c r="N9" i="21"/>
  <c r="N11" i="21" s="1"/>
  <c r="M9" i="21"/>
  <c r="L9" i="21"/>
  <c r="K9" i="21"/>
  <c r="J9" i="21"/>
  <c r="H9" i="21"/>
  <c r="H11" i="21" s="1"/>
  <c r="P8" i="21"/>
  <c r="P7" i="21"/>
  <c r="F4" i="21"/>
  <c r="C75" i="20"/>
  <c r="C73" i="20"/>
  <c r="D72" i="20"/>
  <c r="C72" i="20"/>
  <c r="C71" i="20"/>
  <c r="D71" i="20" s="1"/>
  <c r="C70" i="20"/>
  <c r="D70" i="20" s="1"/>
  <c r="D69" i="20"/>
  <c r="C69" i="20"/>
  <c r="C68" i="20"/>
  <c r="D68" i="20" s="1"/>
  <c r="C67" i="20"/>
  <c r="D67" i="20" s="1"/>
  <c r="C66" i="20"/>
  <c r="D66" i="20" s="1"/>
  <c r="D40" i="20"/>
  <c r="F39" i="20" s="1"/>
  <c r="D39" i="20"/>
  <c r="K38" i="20"/>
  <c r="K39" i="20" s="1"/>
  <c r="K40" i="20" s="1"/>
  <c r="F38" i="20"/>
  <c r="D38" i="20"/>
  <c r="K31" i="20"/>
  <c r="J31" i="20"/>
  <c r="K30" i="20"/>
  <c r="K34" i="20" s="1"/>
  <c r="K29" i="20"/>
  <c r="K28" i="20"/>
  <c r="J28" i="20"/>
  <c r="K27" i="20"/>
  <c r="J27" i="20"/>
  <c r="K26" i="20"/>
  <c r="K17" i="20"/>
  <c r="K33" i="20" s="1"/>
  <c r="J17" i="20"/>
  <c r="J33" i="20" s="1"/>
  <c r="I16" i="20"/>
  <c r="O15" i="20"/>
  <c r="N15" i="20"/>
  <c r="M15" i="20"/>
  <c r="L15" i="20"/>
  <c r="K15" i="20"/>
  <c r="J15" i="20"/>
  <c r="I15" i="20"/>
  <c r="H15" i="20"/>
  <c r="G15" i="20"/>
  <c r="F15" i="20"/>
  <c r="P15" i="20" s="1"/>
  <c r="E15" i="20"/>
  <c r="D15" i="20"/>
  <c r="P14" i="20"/>
  <c r="P13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H22" i="20" s="1"/>
  <c r="L11" i="20"/>
  <c r="L16" i="20" s="1"/>
  <c r="D11" i="20"/>
  <c r="O10" i="20"/>
  <c r="N10" i="20"/>
  <c r="M10" i="20"/>
  <c r="L10" i="20"/>
  <c r="K10" i="20"/>
  <c r="J10" i="20"/>
  <c r="J11" i="20" s="1"/>
  <c r="I10" i="20"/>
  <c r="H10" i="20"/>
  <c r="P10" i="20" s="1"/>
  <c r="G10" i="20"/>
  <c r="G20" i="20" s="1"/>
  <c r="F10" i="20"/>
  <c r="E10" i="20"/>
  <c r="D10" i="20"/>
  <c r="O9" i="20"/>
  <c r="N9" i="20"/>
  <c r="N11" i="20" s="1"/>
  <c r="N20" i="20" s="1"/>
  <c r="M9" i="20"/>
  <c r="M11" i="20" s="1"/>
  <c r="L9" i="20"/>
  <c r="K9" i="20"/>
  <c r="K11" i="20" s="1"/>
  <c r="K20" i="20" s="1"/>
  <c r="J9" i="20"/>
  <c r="I9" i="20"/>
  <c r="I11" i="20" s="1"/>
  <c r="I20" i="20" s="1"/>
  <c r="H9" i="20"/>
  <c r="G9" i="20"/>
  <c r="F9" i="20"/>
  <c r="F11" i="20" s="1"/>
  <c r="E9" i="20"/>
  <c r="D9" i="20"/>
  <c r="P8" i="20"/>
  <c r="P7" i="20"/>
  <c r="F4" i="20"/>
  <c r="J30" i="20" s="1"/>
  <c r="J34" i="20" s="1"/>
  <c r="E78" i="19"/>
  <c r="C78" i="19"/>
  <c r="C76" i="19"/>
  <c r="C74" i="19"/>
  <c r="C73" i="19"/>
  <c r="C72" i="19"/>
  <c r="D72" i="19" s="1"/>
  <c r="D71" i="19"/>
  <c r="C71" i="19"/>
  <c r="D70" i="19"/>
  <c r="C70" i="19"/>
  <c r="D69" i="19"/>
  <c r="C69" i="19"/>
  <c r="C68" i="19"/>
  <c r="D68" i="19" s="1"/>
  <c r="D67" i="19"/>
  <c r="C67" i="19"/>
  <c r="C66" i="19"/>
  <c r="D66" i="19" s="1"/>
  <c r="K39" i="19"/>
  <c r="D39" i="19"/>
  <c r="K38" i="19"/>
  <c r="D38" i="19"/>
  <c r="K33" i="19"/>
  <c r="J33" i="19"/>
  <c r="K31" i="19"/>
  <c r="J31" i="19"/>
  <c r="K30" i="19"/>
  <c r="K34" i="19" s="1"/>
  <c r="J30" i="19"/>
  <c r="J34" i="19" s="1"/>
  <c r="K29" i="19"/>
  <c r="J29" i="19"/>
  <c r="K28" i="19"/>
  <c r="J28" i="19"/>
  <c r="K27" i="19"/>
  <c r="J27" i="19"/>
  <c r="E22" i="19"/>
  <c r="D22" i="19"/>
  <c r="O15" i="19"/>
  <c r="L15" i="19"/>
  <c r="K15" i="19"/>
  <c r="J15" i="19"/>
  <c r="G15" i="19"/>
  <c r="P14" i="19"/>
  <c r="R14" i="19" s="1"/>
  <c r="R13" i="19"/>
  <c r="P13" i="19"/>
  <c r="O12" i="19"/>
  <c r="N12" i="19"/>
  <c r="M12" i="19"/>
  <c r="L12" i="19"/>
  <c r="K12" i="19"/>
  <c r="J12" i="19"/>
  <c r="I12" i="19"/>
  <c r="H12" i="19"/>
  <c r="G12" i="19"/>
  <c r="F12" i="19"/>
  <c r="O22" i="19" s="1"/>
  <c r="E12" i="19"/>
  <c r="D12" i="19"/>
  <c r="L11" i="19"/>
  <c r="L20" i="19" s="1"/>
  <c r="D11" i="19"/>
  <c r="O10" i="19"/>
  <c r="O11" i="19" s="1"/>
  <c r="N10" i="19"/>
  <c r="M10" i="19"/>
  <c r="L10" i="19"/>
  <c r="K10" i="19"/>
  <c r="J10" i="19"/>
  <c r="J11" i="19" s="1"/>
  <c r="I10" i="19"/>
  <c r="I11" i="19" s="1"/>
  <c r="H10" i="19"/>
  <c r="P10" i="19" s="1"/>
  <c r="G10" i="19"/>
  <c r="G11" i="19" s="1"/>
  <c r="F10" i="19"/>
  <c r="E10" i="19"/>
  <c r="D10" i="19"/>
  <c r="O9" i="19"/>
  <c r="N9" i="19"/>
  <c r="N11" i="19" s="1"/>
  <c r="N20" i="19" s="1"/>
  <c r="M9" i="19"/>
  <c r="M11" i="19" s="1"/>
  <c r="M20" i="19" s="1"/>
  <c r="L9" i="19"/>
  <c r="K9" i="19"/>
  <c r="K11" i="19" s="1"/>
  <c r="J9" i="19"/>
  <c r="I9" i="19"/>
  <c r="H9" i="19"/>
  <c r="G9" i="19"/>
  <c r="F9" i="19"/>
  <c r="F11" i="19" s="1"/>
  <c r="F20" i="19" s="1"/>
  <c r="E9" i="19"/>
  <c r="D9" i="19"/>
  <c r="P8" i="19"/>
  <c r="P7" i="19"/>
  <c r="F4" i="19"/>
  <c r="K32" i="19" s="1"/>
  <c r="K3" i="19"/>
  <c r="E78" i="18"/>
  <c r="D78" i="18"/>
  <c r="C78" i="18"/>
  <c r="C76" i="18"/>
  <c r="C74" i="18"/>
  <c r="C73" i="18"/>
  <c r="C72" i="18"/>
  <c r="D72" i="18" s="1"/>
  <c r="D71" i="18"/>
  <c r="C71" i="18"/>
  <c r="D70" i="18"/>
  <c r="C70" i="18"/>
  <c r="D69" i="18"/>
  <c r="C69" i="18"/>
  <c r="C68" i="18"/>
  <c r="D68" i="18" s="1"/>
  <c r="D67" i="18"/>
  <c r="C67" i="18"/>
  <c r="D66" i="18"/>
  <c r="C66" i="18"/>
  <c r="N39" i="18"/>
  <c r="K39" i="18"/>
  <c r="K40" i="18" s="1"/>
  <c r="K38" i="18"/>
  <c r="D38" i="18"/>
  <c r="K33" i="18"/>
  <c r="J33" i="18"/>
  <c r="I33" i="18"/>
  <c r="K31" i="18"/>
  <c r="J31" i="18"/>
  <c r="I31" i="18"/>
  <c r="K29" i="18"/>
  <c r="J29" i="18"/>
  <c r="K28" i="18"/>
  <c r="J28" i="18"/>
  <c r="I28" i="18"/>
  <c r="K27" i="18"/>
  <c r="J27" i="18"/>
  <c r="I27" i="18"/>
  <c r="D22" i="18"/>
  <c r="O20" i="18"/>
  <c r="G20" i="18"/>
  <c r="I17" i="18"/>
  <c r="I29" i="18" s="1"/>
  <c r="L15" i="18"/>
  <c r="K15" i="18"/>
  <c r="P14" i="18"/>
  <c r="R13" i="18"/>
  <c r="E13" i="18"/>
  <c r="P13" i="18" s="1"/>
  <c r="R14" i="18" s="1"/>
  <c r="O12" i="18"/>
  <c r="R12" i="18" s="1"/>
  <c r="N12" i="18"/>
  <c r="M12" i="18"/>
  <c r="L12" i="18"/>
  <c r="K12" i="18"/>
  <c r="J12" i="18"/>
  <c r="I12" i="18"/>
  <c r="H12" i="18"/>
  <c r="G12" i="18"/>
  <c r="F12" i="18"/>
  <c r="O22" i="18" s="1"/>
  <c r="E12" i="18"/>
  <c r="D12" i="18"/>
  <c r="G22" i="18" s="1"/>
  <c r="M11" i="18"/>
  <c r="M20" i="18" s="1"/>
  <c r="K11" i="18"/>
  <c r="J11" i="18"/>
  <c r="J20" i="18" s="1"/>
  <c r="H11" i="18"/>
  <c r="E11" i="18"/>
  <c r="E20" i="18" s="1"/>
  <c r="O10" i="18"/>
  <c r="N10" i="18"/>
  <c r="M10" i="18"/>
  <c r="L10" i="18"/>
  <c r="K10" i="18"/>
  <c r="J10" i="18"/>
  <c r="I10" i="18"/>
  <c r="H10" i="18"/>
  <c r="G10" i="18"/>
  <c r="F10" i="18"/>
  <c r="P10" i="18" s="1"/>
  <c r="P20" i="18" s="1"/>
  <c r="E10" i="18"/>
  <c r="D10" i="18"/>
  <c r="O9" i="18"/>
  <c r="O11" i="18" s="1"/>
  <c r="R11" i="18" s="1"/>
  <c r="N9" i="18"/>
  <c r="M9" i="18"/>
  <c r="L9" i="18"/>
  <c r="L11" i="18" s="1"/>
  <c r="K9" i="18"/>
  <c r="J9" i="18"/>
  <c r="I9" i="18"/>
  <c r="H9" i="18"/>
  <c r="G9" i="18"/>
  <c r="G11" i="18" s="1"/>
  <c r="F9" i="18"/>
  <c r="E9" i="18"/>
  <c r="D9" i="18"/>
  <c r="D11" i="18" s="1"/>
  <c r="P8" i="18"/>
  <c r="P7" i="18"/>
  <c r="O4" i="18"/>
  <c r="F4" i="18"/>
  <c r="K30" i="18" s="1"/>
  <c r="K34" i="18" s="1"/>
  <c r="O3" i="18"/>
  <c r="K3" i="18"/>
  <c r="O2" i="18"/>
  <c r="Q3" i="18" s="1"/>
  <c r="K38" i="17"/>
  <c r="K39" i="17" s="1"/>
  <c r="K40" i="17" s="1"/>
  <c r="D38" i="17"/>
  <c r="K33" i="17"/>
  <c r="J33" i="17"/>
  <c r="J32" i="17"/>
  <c r="K31" i="17"/>
  <c r="J31" i="17"/>
  <c r="I31" i="17"/>
  <c r="I30" i="17"/>
  <c r="I34" i="17" s="1"/>
  <c r="K29" i="17"/>
  <c r="J29" i="17"/>
  <c r="K28" i="17"/>
  <c r="J28" i="17"/>
  <c r="I28" i="17"/>
  <c r="K27" i="17"/>
  <c r="J27" i="17"/>
  <c r="I27" i="17"/>
  <c r="O22" i="17"/>
  <c r="N22" i="17"/>
  <c r="M22" i="17"/>
  <c r="L22" i="17"/>
  <c r="K22" i="17"/>
  <c r="J22" i="17"/>
  <c r="I22" i="17"/>
  <c r="H22" i="17"/>
  <c r="G22" i="17"/>
  <c r="F22" i="17"/>
  <c r="E22" i="17"/>
  <c r="D22" i="17"/>
  <c r="I21" i="17"/>
  <c r="H21" i="17"/>
  <c r="G21" i="17"/>
  <c r="D21" i="17"/>
  <c r="M20" i="17"/>
  <c r="L20" i="17"/>
  <c r="H20" i="17"/>
  <c r="E20" i="17"/>
  <c r="D20" i="17"/>
  <c r="I17" i="17"/>
  <c r="I32" i="17" s="1"/>
  <c r="P14" i="17"/>
  <c r="P13" i="17"/>
  <c r="R14" i="17" s="1"/>
  <c r="R12" i="17"/>
  <c r="R11" i="17"/>
  <c r="O11" i="17"/>
  <c r="O20" i="17" s="1"/>
  <c r="N11" i="17"/>
  <c r="N20" i="17" s="1"/>
  <c r="M11" i="17"/>
  <c r="L11" i="17"/>
  <c r="K11" i="17"/>
  <c r="K26" i="17" s="1"/>
  <c r="J11" i="17"/>
  <c r="J20" i="17" s="1"/>
  <c r="I11" i="17"/>
  <c r="H11" i="17"/>
  <c r="G11" i="17"/>
  <c r="G20" i="17" s="1"/>
  <c r="F11" i="17"/>
  <c r="O21" i="17" s="1"/>
  <c r="E11" i="17"/>
  <c r="D11" i="17"/>
  <c r="R10" i="17"/>
  <c r="P10" i="17"/>
  <c r="P20" i="17" s="1"/>
  <c r="R9" i="17"/>
  <c r="P9" i="17"/>
  <c r="P7" i="17"/>
  <c r="F4" i="17"/>
  <c r="K40" i="16"/>
  <c r="N39" i="16"/>
  <c r="K39" i="16"/>
  <c r="K38" i="16"/>
  <c r="D38" i="16"/>
  <c r="K33" i="16"/>
  <c r="J33" i="16"/>
  <c r="K31" i="16"/>
  <c r="J31" i="16"/>
  <c r="I31" i="16"/>
  <c r="K29" i="16"/>
  <c r="J29" i="16"/>
  <c r="I29" i="16"/>
  <c r="K28" i="16"/>
  <c r="J28" i="16"/>
  <c r="I28" i="16"/>
  <c r="K27" i="16"/>
  <c r="J27" i="16"/>
  <c r="I27" i="16"/>
  <c r="K26" i="16"/>
  <c r="J26" i="16"/>
  <c r="I26" i="16"/>
  <c r="K22" i="16"/>
  <c r="J22" i="16"/>
  <c r="O20" i="16"/>
  <c r="L20" i="16"/>
  <c r="K20" i="16"/>
  <c r="J20" i="16"/>
  <c r="I20" i="16"/>
  <c r="D20" i="16"/>
  <c r="I17" i="16"/>
  <c r="I32" i="16" s="1"/>
  <c r="P14" i="16"/>
  <c r="P13" i="16"/>
  <c r="N12" i="16"/>
  <c r="M12" i="16"/>
  <c r="L12" i="16"/>
  <c r="G12" i="16"/>
  <c r="I22" i="16" s="1"/>
  <c r="F12" i="16"/>
  <c r="E12" i="16"/>
  <c r="N22" i="16" s="1"/>
  <c r="D12" i="16"/>
  <c r="O22" i="16" s="1"/>
  <c r="N11" i="16"/>
  <c r="N20" i="16" s="1"/>
  <c r="M11" i="16"/>
  <c r="M20" i="16" s="1"/>
  <c r="L11" i="16"/>
  <c r="K11" i="16"/>
  <c r="J11" i="16"/>
  <c r="I11" i="16"/>
  <c r="H11" i="16"/>
  <c r="H20" i="16" s="1"/>
  <c r="G11" i="16"/>
  <c r="G20" i="16" s="1"/>
  <c r="F11" i="16"/>
  <c r="E11" i="16"/>
  <c r="D11" i="16"/>
  <c r="K21" i="16" s="1"/>
  <c r="P10" i="16"/>
  <c r="P20" i="16" s="1"/>
  <c r="P9" i="16"/>
  <c r="P8" i="16"/>
  <c r="P7" i="16"/>
  <c r="K4" i="16"/>
  <c r="K3" i="16" s="1"/>
  <c r="F4" i="16"/>
  <c r="K30" i="16" s="1"/>
  <c r="K34" i="16" s="1"/>
  <c r="P65" i="15"/>
  <c r="N65" i="15"/>
  <c r="L65" i="15"/>
  <c r="H65" i="15"/>
  <c r="G65" i="15"/>
  <c r="E65" i="15"/>
  <c r="F65" i="15" s="1"/>
  <c r="G64" i="15"/>
  <c r="H64" i="15" s="1"/>
  <c r="E64" i="15"/>
  <c r="F64" i="15" s="1"/>
  <c r="H63" i="15"/>
  <c r="G63" i="15"/>
  <c r="E63" i="15"/>
  <c r="F63" i="15" s="1"/>
  <c r="G62" i="15"/>
  <c r="H62" i="15" s="1"/>
  <c r="E62" i="15"/>
  <c r="F62" i="15" s="1"/>
  <c r="I61" i="15"/>
  <c r="E61" i="15"/>
  <c r="F61" i="15" s="1"/>
  <c r="F60" i="15"/>
  <c r="E60" i="15"/>
  <c r="E59" i="15"/>
  <c r="F59" i="15" s="1"/>
  <c r="H58" i="15"/>
  <c r="E58" i="15"/>
  <c r="F58" i="15" s="1"/>
  <c r="O57" i="15"/>
  <c r="H57" i="15"/>
  <c r="E57" i="15"/>
  <c r="F57" i="15" s="1"/>
  <c r="H56" i="15"/>
  <c r="F56" i="15"/>
  <c r="E56" i="15"/>
  <c r="H55" i="15"/>
  <c r="F55" i="15"/>
  <c r="E55" i="15"/>
  <c r="H54" i="15"/>
  <c r="F54" i="15"/>
  <c r="E54" i="15"/>
  <c r="H53" i="15"/>
  <c r="E53" i="15"/>
  <c r="F53" i="15" s="1"/>
  <c r="N39" i="15"/>
  <c r="D39" i="15"/>
  <c r="K38" i="15"/>
  <c r="K39" i="15" s="1"/>
  <c r="K40" i="15" s="1"/>
  <c r="D38" i="15"/>
  <c r="D40" i="15" s="1"/>
  <c r="F39" i="15" s="1"/>
  <c r="K33" i="15"/>
  <c r="J33" i="15"/>
  <c r="N31" i="15"/>
  <c r="K31" i="15"/>
  <c r="J31" i="15"/>
  <c r="I31" i="15"/>
  <c r="F31" i="15"/>
  <c r="F30" i="15"/>
  <c r="F34" i="15" s="1"/>
  <c r="K29" i="15"/>
  <c r="J29" i="15"/>
  <c r="K28" i="15"/>
  <c r="J28" i="15"/>
  <c r="I28" i="15"/>
  <c r="K27" i="15"/>
  <c r="J27" i="15"/>
  <c r="I27" i="15"/>
  <c r="M26" i="15"/>
  <c r="K26" i="15"/>
  <c r="L22" i="15"/>
  <c r="E20" i="15"/>
  <c r="I17" i="15"/>
  <c r="N16" i="15"/>
  <c r="N27" i="15" s="1"/>
  <c r="G16" i="15"/>
  <c r="E16" i="15"/>
  <c r="O15" i="15"/>
  <c r="N15" i="15"/>
  <c r="M15" i="15"/>
  <c r="L15" i="15"/>
  <c r="K15" i="15"/>
  <c r="J15" i="15"/>
  <c r="I15" i="15"/>
  <c r="H15" i="15"/>
  <c r="P15" i="15" s="1"/>
  <c r="G15" i="15"/>
  <c r="F15" i="15"/>
  <c r="E15" i="15"/>
  <c r="D15" i="15"/>
  <c r="P13" i="15"/>
  <c r="O12" i="15"/>
  <c r="N12" i="15"/>
  <c r="M12" i="15"/>
  <c r="I12" i="15"/>
  <c r="H12" i="15"/>
  <c r="G12" i="15"/>
  <c r="F12" i="15"/>
  <c r="E12" i="15"/>
  <c r="D12" i="15"/>
  <c r="D22" i="15" s="1"/>
  <c r="O11" i="15"/>
  <c r="N11" i="15"/>
  <c r="N20" i="15" s="1"/>
  <c r="M11" i="15"/>
  <c r="M16" i="15" s="1"/>
  <c r="L11" i="15"/>
  <c r="K11" i="15"/>
  <c r="K20" i="15" s="1"/>
  <c r="J11" i="15"/>
  <c r="I11" i="15"/>
  <c r="H11" i="15"/>
  <c r="G11" i="15"/>
  <c r="G20" i="15" s="1"/>
  <c r="F11" i="15"/>
  <c r="F16" i="15" s="1"/>
  <c r="E11" i="15"/>
  <c r="D11" i="15"/>
  <c r="P10" i="15"/>
  <c r="P20" i="15" s="1"/>
  <c r="P9" i="15"/>
  <c r="K9" i="15"/>
  <c r="P8" i="15"/>
  <c r="P7" i="15"/>
  <c r="F4" i="15"/>
  <c r="G73" i="14"/>
  <c r="H73" i="14" s="1"/>
  <c r="F73" i="14"/>
  <c r="E73" i="14"/>
  <c r="H72" i="14"/>
  <c r="G72" i="14"/>
  <c r="E72" i="14"/>
  <c r="F72" i="14" s="1"/>
  <c r="L71" i="14"/>
  <c r="G71" i="14"/>
  <c r="H71" i="14" s="1"/>
  <c r="E71" i="14"/>
  <c r="F71" i="14" s="1"/>
  <c r="H70" i="14"/>
  <c r="E70" i="14"/>
  <c r="F70" i="14" s="1"/>
  <c r="L69" i="14"/>
  <c r="H69" i="14"/>
  <c r="F69" i="14"/>
  <c r="E69" i="14"/>
  <c r="L68" i="14"/>
  <c r="H68" i="14"/>
  <c r="E68" i="14"/>
  <c r="F68" i="14" s="1"/>
  <c r="L67" i="14"/>
  <c r="H67" i="14"/>
  <c r="F67" i="14"/>
  <c r="E67" i="14"/>
  <c r="L66" i="14"/>
  <c r="H66" i="14"/>
  <c r="G66" i="14"/>
  <c r="E66" i="14"/>
  <c r="F66" i="14" s="1"/>
  <c r="N65" i="14"/>
  <c r="P65" i="14" s="1"/>
  <c r="L65" i="14"/>
  <c r="H65" i="14"/>
  <c r="E65" i="14"/>
  <c r="F65" i="14" s="1"/>
  <c r="G64" i="14"/>
  <c r="H64" i="14" s="1"/>
  <c r="E64" i="14"/>
  <c r="F64" i="14" s="1"/>
  <c r="G63" i="14"/>
  <c r="H63" i="14" s="1"/>
  <c r="E63" i="14"/>
  <c r="F63" i="14" s="1"/>
  <c r="G62" i="14"/>
  <c r="H62" i="14" s="1"/>
  <c r="E62" i="14"/>
  <c r="F62" i="14" s="1"/>
  <c r="I61" i="14"/>
  <c r="F61" i="14"/>
  <c r="E61" i="14"/>
  <c r="E60" i="14"/>
  <c r="F60" i="14" s="1"/>
  <c r="F59" i="14"/>
  <c r="E59" i="14"/>
  <c r="H58" i="14"/>
  <c r="E58" i="14"/>
  <c r="F58" i="14" s="1"/>
  <c r="O57" i="14"/>
  <c r="H57" i="14"/>
  <c r="E57" i="14"/>
  <c r="F57" i="14" s="1"/>
  <c r="H56" i="14"/>
  <c r="F56" i="14"/>
  <c r="E56" i="14"/>
  <c r="H55" i="14"/>
  <c r="E55" i="14"/>
  <c r="F55" i="14" s="1"/>
  <c r="H54" i="14"/>
  <c r="E54" i="14"/>
  <c r="F54" i="14" s="1"/>
  <c r="H53" i="14"/>
  <c r="E53" i="14"/>
  <c r="F53" i="14" s="1"/>
  <c r="D40" i="14"/>
  <c r="F38" i="14" s="1"/>
  <c r="N39" i="14"/>
  <c r="F39" i="14"/>
  <c r="D39" i="14"/>
  <c r="K38" i="14"/>
  <c r="K39" i="14" s="1"/>
  <c r="D38" i="14"/>
  <c r="G34" i="14"/>
  <c r="K33" i="14"/>
  <c r="H33" i="14"/>
  <c r="I32" i="14"/>
  <c r="N31" i="14"/>
  <c r="K31" i="14"/>
  <c r="J31" i="14"/>
  <c r="I31" i="14"/>
  <c r="H31" i="14"/>
  <c r="E31" i="14"/>
  <c r="J30" i="14"/>
  <c r="J34" i="14" s="1"/>
  <c r="I29" i="14"/>
  <c r="H29" i="14"/>
  <c r="K28" i="14"/>
  <c r="J28" i="14"/>
  <c r="I28" i="14"/>
  <c r="H28" i="14"/>
  <c r="N27" i="14"/>
  <c r="K27" i="14"/>
  <c r="J27" i="14"/>
  <c r="I27" i="14"/>
  <c r="H27" i="14"/>
  <c r="N26" i="14"/>
  <c r="K26" i="14"/>
  <c r="F22" i="14"/>
  <c r="D21" i="14"/>
  <c r="P20" i="14"/>
  <c r="O20" i="14"/>
  <c r="N20" i="14"/>
  <c r="L20" i="14"/>
  <c r="H20" i="14"/>
  <c r="G20" i="14"/>
  <c r="D20" i="14"/>
  <c r="N17" i="14"/>
  <c r="L17" i="14"/>
  <c r="L32" i="14" s="1"/>
  <c r="K17" i="14"/>
  <c r="K29" i="14" s="1"/>
  <c r="J17" i="14"/>
  <c r="I17" i="14"/>
  <c r="I33" i="14" s="1"/>
  <c r="H17" i="14"/>
  <c r="E17" i="14"/>
  <c r="O16" i="14"/>
  <c r="G16" i="14"/>
  <c r="G30" i="14" s="1"/>
  <c r="F16" i="14"/>
  <c r="F26" i="14" s="1"/>
  <c r="E16" i="14"/>
  <c r="E28" i="14" s="1"/>
  <c r="O15" i="14"/>
  <c r="N15" i="14"/>
  <c r="M15" i="14"/>
  <c r="L15" i="14"/>
  <c r="L16" i="14" s="1"/>
  <c r="L31" i="14" s="1"/>
  <c r="K15" i="14"/>
  <c r="J15" i="14"/>
  <c r="I15" i="14"/>
  <c r="H15" i="14"/>
  <c r="G15" i="14"/>
  <c r="F15" i="14"/>
  <c r="E15" i="14"/>
  <c r="D15" i="14"/>
  <c r="P15" i="14" s="1"/>
  <c r="P13" i="14"/>
  <c r="O12" i="14"/>
  <c r="N12" i="14"/>
  <c r="M12" i="14"/>
  <c r="L12" i="14"/>
  <c r="F12" i="14"/>
  <c r="E12" i="14"/>
  <c r="P12" i="14" s="1"/>
  <c r="D12" i="14"/>
  <c r="O11" i="14"/>
  <c r="N11" i="14"/>
  <c r="N16" i="14" s="1"/>
  <c r="M11" i="14"/>
  <c r="M20" i="14" s="1"/>
  <c r="L11" i="14"/>
  <c r="K11" i="14"/>
  <c r="K20" i="14" s="1"/>
  <c r="J11" i="14"/>
  <c r="J21" i="14" s="1"/>
  <c r="I11" i="14"/>
  <c r="H11" i="14"/>
  <c r="H26" i="14" s="1"/>
  <c r="G11" i="14"/>
  <c r="F11" i="14"/>
  <c r="E11" i="14"/>
  <c r="E20" i="14" s="1"/>
  <c r="D11" i="14"/>
  <c r="P10" i="14"/>
  <c r="P9" i="14"/>
  <c r="P8" i="14"/>
  <c r="P7" i="14"/>
  <c r="F4" i="14"/>
  <c r="H30" i="14" s="1"/>
  <c r="H34" i="14" s="1"/>
  <c r="H82" i="13"/>
  <c r="E82" i="13"/>
  <c r="F82" i="13" s="1"/>
  <c r="H81" i="13"/>
  <c r="G81" i="13"/>
  <c r="F81" i="13"/>
  <c r="E81" i="13"/>
  <c r="L80" i="13"/>
  <c r="E80" i="13"/>
  <c r="F80" i="13" s="1"/>
  <c r="E79" i="13"/>
  <c r="H78" i="13"/>
  <c r="E78" i="13"/>
  <c r="F78" i="13" s="1"/>
  <c r="H77" i="13"/>
  <c r="E77" i="13"/>
  <c r="F77" i="13" s="1"/>
  <c r="H76" i="13"/>
  <c r="E76" i="13"/>
  <c r="F76" i="13" s="1"/>
  <c r="G75" i="13"/>
  <c r="H75" i="13" s="1"/>
  <c r="E75" i="13"/>
  <c r="F75" i="13" s="1"/>
  <c r="G74" i="13"/>
  <c r="H74" i="13" s="1"/>
  <c r="E74" i="13"/>
  <c r="F74" i="13" s="1"/>
  <c r="G73" i="13"/>
  <c r="H73" i="13" s="1"/>
  <c r="E73" i="13"/>
  <c r="F73" i="13" s="1"/>
  <c r="G72" i="13"/>
  <c r="H72" i="13" s="1"/>
  <c r="F72" i="13"/>
  <c r="E72" i="13"/>
  <c r="L71" i="13"/>
  <c r="H71" i="13"/>
  <c r="G71" i="13"/>
  <c r="E71" i="13"/>
  <c r="F71" i="13" s="1"/>
  <c r="H70" i="13"/>
  <c r="E70" i="13"/>
  <c r="F70" i="13" s="1"/>
  <c r="L69" i="13"/>
  <c r="H69" i="13"/>
  <c r="E69" i="13"/>
  <c r="F69" i="13" s="1"/>
  <c r="L68" i="13"/>
  <c r="H68" i="13"/>
  <c r="E68" i="13"/>
  <c r="F68" i="13" s="1"/>
  <c r="L67" i="13"/>
  <c r="H67" i="13"/>
  <c r="E67" i="13"/>
  <c r="F67" i="13" s="1"/>
  <c r="L66" i="13"/>
  <c r="H66" i="13"/>
  <c r="G66" i="13"/>
  <c r="F66" i="13"/>
  <c r="E66" i="13"/>
  <c r="P65" i="13"/>
  <c r="N65" i="13"/>
  <c r="L65" i="13"/>
  <c r="H65" i="13"/>
  <c r="F65" i="13"/>
  <c r="E65" i="13"/>
  <c r="H64" i="13"/>
  <c r="G64" i="13"/>
  <c r="F64" i="13"/>
  <c r="E64" i="13"/>
  <c r="G63" i="13"/>
  <c r="H63" i="13" s="1"/>
  <c r="E63" i="13"/>
  <c r="F63" i="13" s="1"/>
  <c r="H62" i="13"/>
  <c r="G62" i="13"/>
  <c r="F62" i="13"/>
  <c r="E62" i="13"/>
  <c r="I61" i="13"/>
  <c r="E61" i="13"/>
  <c r="F61" i="13" s="1"/>
  <c r="E60" i="13"/>
  <c r="F60" i="13" s="1"/>
  <c r="E59" i="13"/>
  <c r="F59" i="13" s="1"/>
  <c r="H58" i="13"/>
  <c r="E58" i="13"/>
  <c r="F58" i="13" s="1"/>
  <c r="O57" i="13"/>
  <c r="H57" i="13"/>
  <c r="F57" i="13"/>
  <c r="E57" i="13"/>
  <c r="H56" i="13"/>
  <c r="E56" i="13"/>
  <c r="F56" i="13" s="1"/>
  <c r="H55" i="13"/>
  <c r="E55" i="13"/>
  <c r="F55" i="13" s="1"/>
  <c r="H54" i="13"/>
  <c r="E54" i="13"/>
  <c r="F54" i="13" s="1"/>
  <c r="H53" i="13"/>
  <c r="E53" i="13"/>
  <c r="F53" i="13" s="1"/>
  <c r="D40" i="13"/>
  <c r="N39" i="13"/>
  <c r="K39" i="13"/>
  <c r="K41" i="13" s="1"/>
  <c r="D39" i="13"/>
  <c r="F39" i="13" s="1"/>
  <c r="K38" i="13"/>
  <c r="F38" i="13"/>
  <c r="D38" i="13"/>
  <c r="J34" i="13"/>
  <c r="K33" i="13"/>
  <c r="H33" i="13"/>
  <c r="K32" i="13"/>
  <c r="J32" i="13"/>
  <c r="H32" i="13"/>
  <c r="K31" i="13"/>
  <c r="J31" i="13"/>
  <c r="I31" i="13"/>
  <c r="H31" i="13"/>
  <c r="G31" i="13"/>
  <c r="E31" i="13"/>
  <c r="J30" i="13"/>
  <c r="K29" i="13"/>
  <c r="J29" i="13"/>
  <c r="H29" i="13"/>
  <c r="O28" i="13"/>
  <c r="K28" i="13"/>
  <c r="J28" i="13"/>
  <c r="I28" i="13"/>
  <c r="H28" i="13"/>
  <c r="G28" i="13"/>
  <c r="K27" i="13"/>
  <c r="J27" i="13"/>
  <c r="I27" i="13"/>
  <c r="H27" i="13"/>
  <c r="H26" i="13"/>
  <c r="N22" i="13"/>
  <c r="F21" i="13"/>
  <c r="E21" i="13"/>
  <c r="D21" i="13"/>
  <c r="O20" i="13"/>
  <c r="G20" i="13"/>
  <c r="K17" i="13"/>
  <c r="J17" i="13"/>
  <c r="J33" i="13" s="1"/>
  <c r="I17" i="13"/>
  <c r="G17" i="13"/>
  <c r="L16" i="13"/>
  <c r="G16" i="13"/>
  <c r="O15" i="13"/>
  <c r="N15" i="13"/>
  <c r="M15" i="13"/>
  <c r="M16" i="13" s="1"/>
  <c r="L15" i="13"/>
  <c r="K15" i="13"/>
  <c r="J15" i="13"/>
  <c r="I15" i="13"/>
  <c r="H15" i="13"/>
  <c r="G15" i="13"/>
  <c r="F15" i="13"/>
  <c r="E15" i="13"/>
  <c r="E16" i="13" s="1"/>
  <c r="D15" i="13"/>
  <c r="P15" i="13" s="1"/>
  <c r="P13" i="13"/>
  <c r="O12" i="13"/>
  <c r="N12" i="13"/>
  <c r="M12" i="13"/>
  <c r="G12" i="13"/>
  <c r="F12" i="13"/>
  <c r="D12" i="13"/>
  <c r="O11" i="13"/>
  <c r="O16" i="13" s="1"/>
  <c r="N11" i="13"/>
  <c r="N20" i="13" s="1"/>
  <c r="M11" i="13"/>
  <c r="M20" i="13" s="1"/>
  <c r="L11" i="13"/>
  <c r="L20" i="13" s="1"/>
  <c r="J11" i="13"/>
  <c r="J21" i="13" s="1"/>
  <c r="I11" i="13"/>
  <c r="H11" i="13"/>
  <c r="H20" i="13" s="1"/>
  <c r="G11" i="13"/>
  <c r="M21" i="13" s="1"/>
  <c r="F11" i="13"/>
  <c r="F16" i="13" s="1"/>
  <c r="E11" i="13"/>
  <c r="E20" i="13" s="1"/>
  <c r="D11" i="13"/>
  <c r="P10" i="13"/>
  <c r="P20" i="13" s="1"/>
  <c r="P9" i="13"/>
  <c r="K9" i="13"/>
  <c r="K11" i="13" s="1"/>
  <c r="P8" i="13"/>
  <c r="P7" i="13"/>
  <c r="F4" i="13"/>
  <c r="K30" i="13" s="1"/>
  <c r="K34" i="13" s="1"/>
  <c r="N93" i="12"/>
  <c r="K93" i="12"/>
  <c r="H93" i="12"/>
  <c r="F93" i="12"/>
  <c r="E93" i="12"/>
  <c r="K92" i="12"/>
  <c r="H92" i="12"/>
  <c r="E92" i="12"/>
  <c r="F92" i="12" s="1"/>
  <c r="H91" i="12"/>
  <c r="E91" i="12"/>
  <c r="F91" i="12" s="1"/>
  <c r="E90" i="12"/>
  <c r="F90" i="12" s="1"/>
  <c r="J89" i="12"/>
  <c r="E89" i="12"/>
  <c r="F89" i="12" s="1"/>
  <c r="J88" i="12"/>
  <c r="F88" i="12"/>
  <c r="E88" i="12"/>
  <c r="E87" i="12"/>
  <c r="F87" i="12" s="1"/>
  <c r="E86" i="12"/>
  <c r="F86" i="12" s="1"/>
  <c r="H85" i="12"/>
  <c r="E85" i="12"/>
  <c r="F85" i="12" s="1"/>
  <c r="H84" i="12"/>
  <c r="E84" i="12"/>
  <c r="F84" i="12" s="1"/>
  <c r="H83" i="12"/>
  <c r="E83" i="12"/>
  <c r="F83" i="12" s="1"/>
  <c r="H82" i="12"/>
  <c r="F82" i="12"/>
  <c r="E82" i="12"/>
  <c r="H81" i="12"/>
  <c r="F81" i="12"/>
  <c r="E81" i="12"/>
  <c r="H80" i="12"/>
  <c r="E80" i="12"/>
  <c r="F80" i="12" s="1"/>
  <c r="G79" i="12"/>
  <c r="H79" i="12" s="1"/>
  <c r="E79" i="12"/>
  <c r="F79" i="12" s="1"/>
  <c r="L78" i="12"/>
  <c r="M78" i="12" s="1"/>
  <c r="E78" i="12"/>
  <c r="F78" i="12" s="1"/>
  <c r="F77" i="12"/>
  <c r="E77" i="12"/>
  <c r="H76" i="12"/>
  <c r="F76" i="12"/>
  <c r="E76" i="12"/>
  <c r="H75" i="12"/>
  <c r="E75" i="12"/>
  <c r="F75" i="12" s="1"/>
  <c r="H74" i="12"/>
  <c r="F74" i="12"/>
  <c r="E74" i="12"/>
  <c r="H73" i="12"/>
  <c r="G73" i="12"/>
  <c r="E73" i="12"/>
  <c r="F73" i="12" s="1"/>
  <c r="G72" i="12"/>
  <c r="H72" i="12" s="1"/>
  <c r="F72" i="12"/>
  <c r="E72" i="12"/>
  <c r="H71" i="12"/>
  <c r="G71" i="12"/>
  <c r="E71" i="12"/>
  <c r="F71" i="12" s="1"/>
  <c r="H70" i="12"/>
  <c r="G70" i="12"/>
  <c r="F70" i="12"/>
  <c r="E70" i="12"/>
  <c r="L69" i="12"/>
  <c r="H69" i="12"/>
  <c r="G69" i="12"/>
  <c r="E69" i="12"/>
  <c r="F69" i="12" s="1"/>
  <c r="H68" i="12"/>
  <c r="F68" i="12"/>
  <c r="E68" i="12"/>
  <c r="L67" i="12"/>
  <c r="H67" i="12"/>
  <c r="E67" i="12"/>
  <c r="F67" i="12" s="1"/>
  <c r="L66" i="12"/>
  <c r="H66" i="12"/>
  <c r="F66" i="12"/>
  <c r="E66" i="12"/>
  <c r="L65" i="12"/>
  <c r="H65" i="12"/>
  <c r="E65" i="12"/>
  <c r="F65" i="12" s="1"/>
  <c r="L64" i="12"/>
  <c r="G64" i="12"/>
  <c r="H64" i="12" s="1"/>
  <c r="E64" i="12"/>
  <c r="F64" i="12" s="1"/>
  <c r="N63" i="12"/>
  <c r="L63" i="12"/>
  <c r="P63" i="12" s="1"/>
  <c r="H63" i="12"/>
  <c r="F63" i="12"/>
  <c r="E63" i="12"/>
  <c r="G62" i="12"/>
  <c r="H62" i="12" s="1"/>
  <c r="E62" i="12"/>
  <c r="F62" i="12" s="1"/>
  <c r="G61" i="12"/>
  <c r="H61" i="12" s="1"/>
  <c r="E61" i="12"/>
  <c r="F61" i="12" s="1"/>
  <c r="G60" i="12"/>
  <c r="H60" i="12" s="1"/>
  <c r="E60" i="12"/>
  <c r="F60" i="12" s="1"/>
  <c r="I59" i="12"/>
  <c r="E59" i="12"/>
  <c r="F59" i="12" s="1"/>
  <c r="F58" i="12"/>
  <c r="E58" i="12"/>
  <c r="F57" i="12"/>
  <c r="E57" i="12"/>
  <c r="H56" i="12"/>
  <c r="E56" i="12"/>
  <c r="F56" i="12" s="1"/>
  <c r="O55" i="12"/>
  <c r="H55" i="12"/>
  <c r="E55" i="12"/>
  <c r="F55" i="12" s="1"/>
  <c r="H54" i="12"/>
  <c r="F54" i="12"/>
  <c r="E54" i="12"/>
  <c r="H53" i="12"/>
  <c r="F53" i="12"/>
  <c r="E53" i="12"/>
  <c r="H52" i="12"/>
  <c r="F52" i="12"/>
  <c r="E52" i="12"/>
  <c r="H51" i="12"/>
  <c r="E51" i="12"/>
  <c r="F51" i="12" s="1"/>
  <c r="N37" i="12"/>
  <c r="D37" i="12"/>
  <c r="K36" i="12"/>
  <c r="K37" i="12" s="1"/>
  <c r="K38" i="12" s="1"/>
  <c r="D36" i="12"/>
  <c r="J29" i="12"/>
  <c r="H29" i="12"/>
  <c r="G28" i="12"/>
  <c r="G32" i="12" s="1"/>
  <c r="N25" i="12"/>
  <c r="F25" i="12"/>
  <c r="J24" i="12"/>
  <c r="E21" i="12"/>
  <c r="K20" i="12"/>
  <c r="E20" i="12"/>
  <c r="D20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P18" i="12"/>
  <c r="O18" i="12"/>
  <c r="N18" i="12"/>
  <c r="M18" i="12"/>
  <c r="L18" i="12"/>
  <c r="K18" i="12"/>
  <c r="J18" i="12"/>
  <c r="I18" i="12"/>
  <c r="H18" i="12"/>
  <c r="G18" i="12"/>
  <c r="F18" i="12"/>
  <c r="E18" i="12"/>
  <c r="D18" i="12"/>
  <c r="J15" i="12"/>
  <c r="H15" i="12"/>
  <c r="F15" i="12"/>
  <c r="O14" i="12"/>
  <c r="M14" i="12"/>
  <c r="K14" i="12"/>
  <c r="J14" i="12"/>
  <c r="I14" i="12"/>
  <c r="H14" i="12"/>
  <c r="G14" i="12"/>
  <c r="E14" i="12"/>
  <c r="O13" i="12"/>
  <c r="N13" i="12"/>
  <c r="N14" i="12" s="1"/>
  <c r="M13" i="12"/>
  <c r="L13" i="12"/>
  <c r="L14" i="12" s="1"/>
  <c r="K13" i="12"/>
  <c r="J13" i="12"/>
  <c r="I13" i="12"/>
  <c r="H13" i="12"/>
  <c r="P13" i="12" s="1"/>
  <c r="G13" i="12"/>
  <c r="F13" i="12"/>
  <c r="F14" i="12" s="1"/>
  <c r="E13" i="12"/>
  <c r="D13" i="12"/>
  <c r="D14" i="12" s="1"/>
  <c r="P11" i="12"/>
  <c r="N10" i="12"/>
  <c r="L10" i="12"/>
  <c r="P10" i="12" s="1"/>
  <c r="H10" i="12"/>
  <c r="G10" i="12"/>
  <c r="F10" i="12"/>
  <c r="P9" i="12"/>
  <c r="P8" i="12"/>
  <c r="P7" i="12"/>
  <c r="K4" i="12"/>
  <c r="F4" i="12"/>
  <c r="P105" i="11"/>
  <c r="N105" i="11"/>
  <c r="E105" i="11"/>
  <c r="F105" i="11" s="1"/>
  <c r="N104" i="11"/>
  <c r="H104" i="11"/>
  <c r="G104" i="11"/>
  <c r="F104" i="11"/>
  <c r="E104" i="11"/>
  <c r="N103" i="11"/>
  <c r="E103" i="11"/>
  <c r="F103" i="11" s="1"/>
  <c r="P102" i="11"/>
  <c r="N102" i="11"/>
  <c r="E102" i="11"/>
  <c r="F102" i="11" s="1"/>
  <c r="P101" i="11"/>
  <c r="N101" i="11"/>
  <c r="F101" i="11"/>
  <c r="E101" i="11"/>
  <c r="N100" i="11"/>
  <c r="O101" i="11" s="1"/>
  <c r="E100" i="11"/>
  <c r="F100" i="11" s="1"/>
  <c r="E99" i="11"/>
  <c r="F99" i="11" s="1"/>
  <c r="P98" i="11"/>
  <c r="N98" i="11"/>
  <c r="E98" i="11"/>
  <c r="F98" i="11" s="1"/>
  <c r="N97" i="11"/>
  <c r="F97" i="11"/>
  <c r="E97" i="11"/>
  <c r="N96" i="11"/>
  <c r="E96" i="11"/>
  <c r="F96" i="11" s="1"/>
  <c r="P95" i="11"/>
  <c r="N95" i="11"/>
  <c r="H95" i="11"/>
  <c r="F95" i="11"/>
  <c r="E95" i="11"/>
  <c r="N94" i="11"/>
  <c r="H94" i="11"/>
  <c r="F94" i="11"/>
  <c r="E94" i="11"/>
  <c r="N93" i="11"/>
  <c r="K93" i="11"/>
  <c r="H93" i="11"/>
  <c r="E93" i="11"/>
  <c r="F93" i="11" s="1"/>
  <c r="K92" i="11"/>
  <c r="H92" i="11"/>
  <c r="E92" i="11"/>
  <c r="F92" i="11" s="1"/>
  <c r="H91" i="11"/>
  <c r="F91" i="11"/>
  <c r="E91" i="11"/>
  <c r="F90" i="11"/>
  <c r="E90" i="11"/>
  <c r="J89" i="11"/>
  <c r="E89" i="11"/>
  <c r="F89" i="11" s="1"/>
  <c r="J88" i="11"/>
  <c r="F88" i="11"/>
  <c r="E88" i="11"/>
  <c r="F87" i="11"/>
  <c r="E87" i="11"/>
  <c r="F86" i="11"/>
  <c r="E86" i="11"/>
  <c r="H85" i="11"/>
  <c r="E85" i="11"/>
  <c r="F85" i="11" s="1"/>
  <c r="H84" i="11"/>
  <c r="F84" i="11"/>
  <c r="E84" i="11"/>
  <c r="H83" i="11"/>
  <c r="E83" i="11"/>
  <c r="F83" i="11" s="1"/>
  <c r="H82" i="11"/>
  <c r="F82" i="11"/>
  <c r="E82" i="11"/>
  <c r="H81" i="11"/>
  <c r="E81" i="11"/>
  <c r="F81" i="11" s="1"/>
  <c r="H80" i="11"/>
  <c r="F80" i="11"/>
  <c r="E80" i="11"/>
  <c r="H79" i="11"/>
  <c r="G79" i="11"/>
  <c r="F79" i="11"/>
  <c r="E79" i="11"/>
  <c r="M78" i="11"/>
  <c r="L78" i="11"/>
  <c r="F78" i="11"/>
  <c r="E78" i="11"/>
  <c r="F77" i="11"/>
  <c r="E77" i="11"/>
  <c r="H76" i="11"/>
  <c r="E76" i="11"/>
  <c r="F76" i="11" s="1"/>
  <c r="H75" i="11"/>
  <c r="F75" i="11"/>
  <c r="E75" i="11"/>
  <c r="H74" i="11"/>
  <c r="E74" i="11"/>
  <c r="F74" i="11" s="1"/>
  <c r="G73" i="11"/>
  <c r="H73" i="11" s="1"/>
  <c r="E73" i="11"/>
  <c r="F73" i="11" s="1"/>
  <c r="G72" i="11"/>
  <c r="H72" i="11" s="1"/>
  <c r="E72" i="11"/>
  <c r="F72" i="11" s="1"/>
  <c r="G71" i="11"/>
  <c r="H71" i="11" s="1"/>
  <c r="E71" i="11"/>
  <c r="F71" i="11" s="1"/>
  <c r="G70" i="11"/>
  <c r="H70" i="11" s="1"/>
  <c r="E70" i="11"/>
  <c r="F70" i="11" s="1"/>
  <c r="L69" i="11"/>
  <c r="H69" i="11"/>
  <c r="G69" i="11"/>
  <c r="F69" i="11"/>
  <c r="E69" i="11"/>
  <c r="H68" i="11"/>
  <c r="E68" i="11"/>
  <c r="F68" i="11" s="1"/>
  <c r="L67" i="11"/>
  <c r="H67" i="11"/>
  <c r="E67" i="11"/>
  <c r="F67" i="11" s="1"/>
  <c r="L66" i="11"/>
  <c r="H66" i="11"/>
  <c r="E66" i="11"/>
  <c r="F66" i="11" s="1"/>
  <c r="L65" i="11"/>
  <c r="H65" i="11"/>
  <c r="E65" i="11"/>
  <c r="F65" i="11" s="1"/>
  <c r="L64" i="11"/>
  <c r="H64" i="11"/>
  <c r="G64" i="11"/>
  <c r="F64" i="11"/>
  <c r="E64" i="11"/>
  <c r="P63" i="11"/>
  <c r="N63" i="11"/>
  <c r="L63" i="11"/>
  <c r="H63" i="11"/>
  <c r="F63" i="11"/>
  <c r="E63" i="11"/>
  <c r="H62" i="11"/>
  <c r="G62" i="11"/>
  <c r="F62" i="11"/>
  <c r="E62" i="11"/>
  <c r="H61" i="11"/>
  <c r="G61" i="11"/>
  <c r="F61" i="11"/>
  <c r="E61" i="11"/>
  <c r="H60" i="11"/>
  <c r="G60" i="11"/>
  <c r="F60" i="11"/>
  <c r="E60" i="11"/>
  <c r="I59" i="11"/>
  <c r="E59" i="11"/>
  <c r="F59" i="11" s="1"/>
  <c r="E58" i="11"/>
  <c r="F58" i="11" s="1"/>
  <c r="E57" i="11"/>
  <c r="F57" i="11" s="1"/>
  <c r="H56" i="11"/>
  <c r="F56" i="11"/>
  <c r="E56" i="11"/>
  <c r="O55" i="11"/>
  <c r="H55" i="11"/>
  <c r="F55" i="11"/>
  <c r="E55" i="11"/>
  <c r="H54" i="11"/>
  <c r="E54" i="11"/>
  <c r="F54" i="11" s="1"/>
  <c r="H53" i="11"/>
  <c r="F53" i="11"/>
  <c r="E53" i="11"/>
  <c r="H52" i="11"/>
  <c r="E52" i="11"/>
  <c r="F52" i="11" s="1"/>
  <c r="H51" i="11"/>
  <c r="F51" i="11"/>
  <c r="E51" i="11"/>
  <c r="N37" i="11"/>
  <c r="K37" i="11"/>
  <c r="K38" i="11" s="1"/>
  <c r="D37" i="11"/>
  <c r="K36" i="11"/>
  <c r="D36" i="11"/>
  <c r="O29" i="11"/>
  <c r="M29" i="11"/>
  <c r="K29" i="11"/>
  <c r="H28" i="11"/>
  <c r="H32" i="11" s="1"/>
  <c r="N26" i="11"/>
  <c r="F26" i="11"/>
  <c r="K25" i="11"/>
  <c r="N24" i="11"/>
  <c r="H24" i="11"/>
  <c r="H20" i="11"/>
  <c r="F20" i="11"/>
  <c r="D20" i="11"/>
  <c r="O19" i="11"/>
  <c r="N19" i="11"/>
  <c r="M19" i="11"/>
  <c r="L19" i="11"/>
  <c r="K19" i="11"/>
  <c r="J19" i="11"/>
  <c r="I19" i="11"/>
  <c r="H19" i="11"/>
  <c r="G19" i="11"/>
  <c r="F19" i="11"/>
  <c r="E19" i="11"/>
  <c r="D19" i="11"/>
  <c r="P18" i="11"/>
  <c r="O18" i="11"/>
  <c r="N18" i="11"/>
  <c r="M18" i="11"/>
  <c r="L18" i="11"/>
  <c r="K18" i="11"/>
  <c r="J18" i="11"/>
  <c r="I18" i="11"/>
  <c r="H18" i="11"/>
  <c r="G18" i="11"/>
  <c r="F18" i="11"/>
  <c r="E18" i="11"/>
  <c r="D18" i="11"/>
  <c r="F15" i="11"/>
  <c r="M14" i="11"/>
  <c r="K14" i="11"/>
  <c r="J14" i="11"/>
  <c r="I14" i="11"/>
  <c r="G14" i="11"/>
  <c r="G29" i="11" s="1"/>
  <c r="E14" i="11"/>
  <c r="E29" i="11" s="1"/>
  <c r="O13" i="11"/>
  <c r="O14" i="11" s="1"/>
  <c r="N13" i="11"/>
  <c r="N14" i="11" s="1"/>
  <c r="N28" i="11" s="1"/>
  <c r="N32" i="11" s="1"/>
  <c r="M13" i="11"/>
  <c r="L13" i="11"/>
  <c r="L14" i="11" s="1"/>
  <c r="K13" i="11"/>
  <c r="J13" i="11"/>
  <c r="I13" i="11"/>
  <c r="H13" i="11"/>
  <c r="H14" i="11" s="1"/>
  <c r="G13" i="11"/>
  <c r="F13" i="11"/>
  <c r="F14" i="11" s="1"/>
  <c r="E13" i="11"/>
  <c r="D13" i="11"/>
  <c r="D14" i="11" s="1"/>
  <c r="L21" i="11" s="1"/>
  <c r="P11" i="11"/>
  <c r="P10" i="11"/>
  <c r="O10" i="11"/>
  <c r="G10" i="11"/>
  <c r="F10" i="11"/>
  <c r="E10" i="11"/>
  <c r="J20" i="11" s="1"/>
  <c r="D10" i="11"/>
  <c r="P9" i="11"/>
  <c r="P8" i="11"/>
  <c r="P7" i="11"/>
  <c r="K4" i="11"/>
  <c r="F4" i="11"/>
  <c r="P113" i="10"/>
  <c r="N113" i="10"/>
  <c r="E113" i="10"/>
  <c r="F113" i="10" s="1"/>
  <c r="P112" i="10"/>
  <c r="N112" i="10"/>
  <c r="E112" i="10"/>
  <c r="F112" i="10" s="1"/>
  <c r="N111" i="10"/>
  <c r="F111" i="10"/>
  <c r="E111" i="10"/>
  <c r="P110" i="10"/>
  <c r="N110" i="10"/>
  <c r="F110" i="10"/>
  <c r="E110" i="10"/>
  <c r="N109" i="10"/>
  <c r="E109" i="10"/>
  <c r="F109" i="10" s="1"/>
  <c r="P108" i="10"/>
  <c r="N108" i="10"/>
  <c r="E108" i="10"/>
  <c r="F108" i="10" s="1"/>
  <c r="P107" i="10"/>
  <c r="N107" i="10"/>
  <c r="F107" i="10"/>
  <c r="E107" i="10"/>
  <c r="P106" i="10"/>
  <c r="N106" i="10"/>
  <c r="E106" i="10"/>
  <c r="F106" i="10" s="1"/>
  <c r="P105" i="10"/>
  <c r="N105" i="10"/>
  <c r="E105" i="10"/>
  <c r="F105" i="10" s="1"/>
  <c r="N104" i="10"/>
  <c r="H104" i="10"/>
  <c r="G104" i="10"/>
  <c r="F104" i="10"/>
  <c r="E104" i="10"/>
  <c r="N103" i="10"/>
  <c r="E103" i="10"/>
  <c r="F103" i="10" s="1"/>
  <c r="P102" i="10"/>
  <c r="N102" i="10"/>
  <c r="E102" i="10"/>
  <c r="F102" i="10" s="1"/>
  <c r="P101" i="10"/>
  <c r="N101" i="10"/>
  <c r="O101" i="10" s="1"/>
  <c r="F101" i="10"/>
  <c r="E101" i="10"/>
  <c r="N100" i="10"/>
  <c r="E100" i="10"/>
  <c r="F100" i="10" s="1"/>
  <c r="E99" i="10"/>
  <c r="F99" i="10" s="1"/>
  <c r="P98" i="10"/>
  <c r="N98" i="10"/>
  <c r="E98" i="10"/>
  <c r="F98" i="10" s="1"/>
  <c r="N97" i="10"/>
  <c r="F97" i="10"/>
  <c r="E97" i="10"/>
  <c r="N96" i="10"/>
  <c r="E96" i="10"/>
  <c r="F96" i="10" s="1"/>
  <c r="P95" i="10"/>
  <c r="N95" i="10"/>
  <c r="H95" i="10"/>
  <c r="F95" i="10"/>
  <c r="E95" i="10"/>
  <c r="N94" i="10"/>
  <c r="H94" i="10"/>
  <c r="F94" i="10"/>
  <c r="E94" i="10"/>
  <c r="N93" i="10"/>
  <c r="K93" i="10"/>
  <c r="H93" i="10"/>
  <c r="E93" i="10"/>
  <c r="F93" i="10" s="1"/>
  <c r="K92" i="10"/>
  <c r="H92" i="10"/>
  <c r="E92" i="10"/>
  <c r="F92" i="10" s="1"/>
  <c r="H91" i="10"/>
  <c r="F91" i="10"/>
  <c r="E91" i="10"/>
  <c r="F90" i="10"/>
  <c r="E90" i="10"/>
  <c r="J89" i="10"/>
  <c r="E89" i="10"/>
  <c r="F89" i="10" s="1"/>
  <c r="J88" i="10"/>
  <c r="F88" i="10"/>
  <c r="E88" i="10"/>
  <c r="E87" i="10"/>
  <c r="F87" i="10" s="1"/>
  <c r="F86" i="10"/>
  <c r="E86" i="10"/>
  <c r="H85" i="10"/>
  <c r="E85" i="10"/>
  <c r="F85" i="10" s="1"/>
  <c r="H84" i="10"/>
  <c r="F84" i="10"/>
  <c r="E84" i="10"/>
  <c r="H83" i="10"/>
  <c r="E83" i="10"/>
  <c r="F83" i="10" s="1"/>
  <c r="H82" i="10"/>
  <c r="F82" i="10"/>
  <c r="E82" i="10"/>
  <c r="H81" i="10"/>
  <c r="F81" i="10"/>
  <c r="E81" i="10"/>
  <c r="H80" i="10"/>
  <c r="F80" i="10"/>
  <c r="E80" i="10"/>
  <c r="H79" i="10"/>
  <c r="G79" i="10"/>
  <c r="E79" i="10"/>
  <c r="F79" i="10" s="1"/>
  <c r="M78" i="10"/>
  <c r="L78" i="10"/>
  <c r="F78" i="10"/>
  <c r="E78" i="10"/>
  <c r="F77" i="10"/>
  <c r="E77" i="10"/>
  <c r="H76" i="10"/>
  <c r="F76" i="10"/>
  <c r="E76" i="10"/>
  <c r="H75" i="10"/>
  <c r="F75" i="10"/>
  <c r="E75" i="10"/>
  <c r="H74" i="10"/>
  <c r="E74" i="10"/>
  <c r="F74" i="10" s="1"/>
  <c r="G73" i="10"/>
  <c r="H73" i="10" s="1"/>
  <c r="E73" i="10"/>
  <c r="F73" i="10" s="1"/>
  <c r="G72" i="10"/>
  <c r="H72" i="10" s="1"/>
  <c r="E72" i="10"/>
  <c r="F72" i="10" s="1"/>
  <c r="H71" i="10"/>
  <c r="G71" i="10"/>
  <c r="E71" i="10"/>
  <c r="F71" i="10" s="1"/>
  <c r="G70" i="10"/>
  <c r="H70" i="10" s="1"/>
  <c r="E70" i="10"/>
  <c r="F70" i="10" s="1"/>
  <c r="L69" i="10"/>
  <c r="H69" i="10"/>
  <c r="G69" i="10"/>
  <c r="F69" i="10"/>
  <c r="E69" i="10"/>
  <c r="H68" i="10"/>
  <c r="E68" i="10"/>
  <c r="F68" i="10" s="1"/>
  <c r="L67" i="10"/>
  <c r="H67" i="10"/>
  <c r="E67" i="10"/>
  <c r="F67" i="10" s="1"/>
  <c r="L66" i="10"/>
  <c r="H66" i="10"/>
  <c r="E66" i="10"/>
  <c r="F66" i="10" s="1"/>
  <c r="L65" i="10"/>
  <c r="H65" i="10"/>
  <c r="E65" i="10"/>
  <c r="F65" i="10" s="1"/>
  <c r="L64" i="10"/>
  <c r="H64" i="10"/>
  <c r="G64" i="10"/>
  <c r="F64" i="10"/>
  <c r="E64" i="10"/>
  <c r="N63" i="10"/>
  <c r="L63" i="10"/>
  <c r="P63" i="10" s="1"/>
  <c r="H63" i="10"/>
  <c r="F63" i="10"/>
  <c r="E63" i="10"/>
  <c r="H62" i="10"/>
  <c r="G62" i="10"/>
  <c r="F62" i="10"/>
  <c r="E62" i="10"/>
  <c r="H61" i="10"/>
  <c r="G61" i="10"/>
  <c r="F61" i="10"/>
  <c r="E61" i="10"/>
  <c r="H60" i="10"/>
  <c r="G60" i="10"/>
  <c r="F60" i="10"/>
  <c r="E60" i="10"/>
  <c r="I59" i="10"/>
  <c r="E59" i="10"/>
  <c r="F59" i="10" s="1"/>
  <c r="E58" i="10"/>
  <c r="F58" i="10" s="1"/>
  <c r="E57" i="10"/>
  <c r="F57" i="10" s="1"/>
  <c r="H56" i="10"/>
  <c r="F56" i="10"/>
  <c r="E56" i="10"/>
  <c r="O55" i="10"/>
  <c r="H55" i="10"/>
  <c r="F55" i="10"/>
  <c r="E55" i="10"/>
  <c r="H54" i="10"/>
  <c r="E54" i="10"/>
  <c r="F54" i="10" s="1"/>
  <c r="H53" i="10"/>
  <c r="F53" i="10"/>
  <c r="E53" i="10"/>
  <c r="H52" i="10"/>
  <c r="F52" i="10"/>
  <c r="E52" i="10"/>
  <c r="H51" i="10"/>
  <c r="F51" i="10"/>
  <c r="E51" i="10"/>
  <c r="D38" i="10"/>
  <c r="F36" i="10" s="1"/>
  <c r="N37" i="10"/>
  <c r="K37" i="10"/>
  <c r="D37" i="10"/>
  <c r="K36" i="10"/>
  <c r="D36" i="10"/>
  <c r="N30" i="10"/>
  <c r="O29" i="10"/>
  <c r="N29" i="10"/>
  <c r="M29" i="10"/>
  <c r="N28" i="10"/>
  <c r="N32" i="10" s="1"/>
  <c r="N26" i="10"/>
  <c r="M26" i="10"/>
  <c r="O25" i="10"/>
  <c r="M25" i="10"/>
  <c r="N24" i="10"/>
  <c r="N20" i="10"/>
  <c r="M20" i="10"/>
  <c r="L20" i="10"/>
  <c r="K20" i="10"/>
  <c r="J20" i="10"/>
  <c r="I20" i="10"/>
  <c r="H20" i="10"/>
  <c r="G20" i="10"/>
  <c r="F20" i="10"/>
  <c r="E20" i="10"/>
  <c r="D20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N15" i="10"/>
  <c r="H15" i="10"/>
  <c r="F15" i="10"/>
  <c r="M14" i="10"/>
  <c r="K14" i="10"/>
  <c r="J14" i="10"/>
  <c r="J29" i="10" s="1"/>
  <c r="I14" i="10"/>
  <c r="G14" i="10"/>
  <c r="E14" i="10"/>
  <c r="E29" i="10" s="1"/>
  <c r="O13" i="10"/>
  <c r="O14" i="10" s="1"/>
  <c r="N13" i="10"/>
  <c r="N14" i="10" s="1"/>
  <c r="N25" i="10" s="1"/>
  <c r="M13" i="10"/>
  <c r="L13" i="10"/>
  <c r="L14" i="10" s="1"/>
  <c r="L28" i="10" s="1"/>
  <c r="L32" i="10" s="1"/>
  <c r="K13" i="10"/>
  <c r="J13" i="10"/>
  <c r="I13" i="10"/>
  <c r="H13" i="10"/>
  <c r="H14" i="10" s="1"/>
  <c r="G13" i="10"/>
  <c r="F13" i="10"/>
  <c r="F14" i="10" s="1"/>
  <c r="F25" i="10" s="1"/>
  <c r="E13" i="10"/>
  <c r="D13" i="10"/>
  <c r="D14" i="10" s="1"/>
  <c r="D26" i="10" s="1"/>
  <c r="P11" i="10"/>
  <c r="O10" i="10"/>
  <c r="O20" i="10" s="1"/>
  <c r="R9" i="10"/>
  <c r="P9" i="10"/>
  <c r="P8" i="10"/>
  <c r="P7" i="10"/>
  <c r="K4" i="10"/>
  <c r="F4" i="10"/>
  <c r="P122" i="9"/>
  <c r="O122" i="9"/>
  <c r="N122" i="9"/>
  <c r="E122" i="9"/>
  <c r="F122" i="9" s="1"/>
  <c r="P121" i="9"/>
  <c r="N121" i="9"/>
  <c r="E121" i="9"/>
  <c r="F121" i="9" s="1"/>
  <c r="P120" i="9"/>
  <c r="N120" i="9"/>
  <c r="E120" i="9"/>
  <c r="F120" i="9" s="1"/>
  <c r="N119" i="9"/>
  <c r="F119" i="9"/>
  <c r="E119" i="9"/>
  <c r="P118" i="9"/>
  <c r="N118" i="9"/>
  <c r="F118" i="9"/>
  <c r="E118" i="9"/>
  <c r="N117" i="9"/>
  <c r="E117" i="9"/>
  <c r="F117" i="9" s="1"/>
  <c r="N116" i="9"/>
  <c r="E116" i="9"/>
  <c r="F116" i="9" s="1"/>
  <c r="P115" i="9"/>
  <c r="N115" i="9"/>
  <c r="F115" i="9"/>
  <c r="E115" i="9"/>
  <c r="N114" i="9"/>
  <c r="E114" i="9"/>
  <c r="F114" i="9" s="1"/>
  <c r="P113" i="9"/>
  <c r="N113" i="9"/>
  <c r="E113" i="9"/>
  <c r="F113" i="9" s="1"/>
  <c r="P112" i="9"/>
  <c r="N112" i="9"/>
  <c r="E112" i="9"/>
  <c r="F112" i="9" s="1"/>
  <c r="N111" i="9"/>
  <c r="F111" i="9"/>
  <c r="E111" i="9"/>
  <c r="P110" i="9"/>
  <c r="N110" i="9"/>
  <c r="F110" i="9"/>
  <c r="E110" i="9"/>
  <c r="N109" i="9"/>
  <c r="F109" i="9"/>
  <c r="E109" i="9"/>
  <c r="P108" i="9"/>
  <c r="N108" i="9"/>
  <c r="E108" i="9"/>
  <c r="F108" i="9" s="1"/>
  <c r="P107" i="9"/>
  <c r="N107" i="9"/>
  <c r="F107" i="9"/>
  <c r="E107" i="9"/>
  <c r="P106" i="9"/>
  <c r="N106" i="9"/>
  <c r="E106" i="9"/>
  <c r="F106" i="9" s="1"/>
  <c r="P105" i="9"/>
  <c r="N105" i="9"/>
  <c r="E105" i="9"/>
  <c r="F105" i="9" s="1"/>
  <c r="N104" i="9"/>
  <c r="H104" i="9"/>
  <c r="G104" i="9"/>
  <c r="F104" i="9"/>
  <c r="E104" i="9"/>
  <c r="N103" i="9"/>
  <c r="E103" i="9"/>
  <c r="F103" i="9" s="1"/>
  <c r="P102" i="9"/>
  <c r="N102" i="9"/>
  <c r="E102" i="9"/>
  <c r="F102" i="9" s="1"/>
  <c r="P101" i="9"/>
  <c r="N101" i="9"/>
  <c r="O101" i="9" s="1"/>
  <c r="F101" i="9"/>
  <c r="E101" i="9"/>
  <c r="N100" i="9"/>
  <c r="E100" i="9"/>
  <c r="F100" i="9" s="1"/>
  <c r="E99" i="9"/>
  <c r="F99" i="9" s="1"/>
  <c r="P98" i="9"/>
  <c r="N98" i="9"/>
  <c r="E98" i="9"/>
  <c r="F98" i="9" s="1"/>
  <c r="N97" i="9"/>
  <c r="F97" i="9"/>
  <c r="E97" i="9"/>
  <c r="N96" i="9"/>
  <c r="E96" i="9"/>
  <c r="F96" i="9" s="1"/>
  <c r="P95" i="9"/>
  <c r="N95" i="9"/>
  <c r="H95" i="9"/>
  <c r="F95" i="9"/>
  <c r="E95" i="9"/>
  <c r="N94" i="9"/>
  <c r="H94" i="9"/>
  <c r="F94" i="9"/>
  <c r="E94" i="9"/>
  <c r="N93" i="9"/>
  <c r="K93" i="9"/>
  <c r="H93" i="9"/>
  <c r="E93" i="9"/>
  <c r="F93" i="9" s="1"/>
  <c r="K92" i="9"/>
  <c r="H92" i="9"/>
  <c r="E92" i="9"/>
  <c r="F92" i="9" s="1"/>
  <c r="H91" i="9"/>
  <c r="F91" i="9"/>
  <c r="E91" i="9"/>
  <c r="F90" i="9"/>
  <c r="E90" i="9"/>
  <c r="J89" i="9"/>
  <c r="E89" i="9"/>
  <c r="F89" i="9" s="1"/>
  <c r="J88" i="9"/>
  <c r="F88" i="9"/>
  <c r="E88" i="9"/>
  <c r="E87" i="9"/>
  <c r="F87" i="9" s="1"/>
  <c r="F86" i="9"/>
  <c r="E86" i="9"/>
  <c r="H85" i="9"/>
  <c r="E85" i="9"/>
  <c r="F85" i="9" s="1"/>
  <c r="H84" i="9"/>
  <c r="F84" i="9"/>
  <c r="E84" i="9"/>
  <c r="H83" i="9"/>
  <c r="E83" i="9"/>
  <c r="F83" i="9" s="1"/>
  <c r="H82" i="9"/>
  <c r="F82" i="9"/>
  <c r="E82" i="9"/>
  <c r="H81" i="9"/>
  <c r="F81" i="9"/>
  <c r="E81" i="9"/>
  <c r="H80" i="9"/>
  <c r="F80" i="9"/>
  <c r="E80" i="9"/>
  <c r="H79" i="9"/>
  <c r="G79" i="9"/>
  <c r="F79" i="9"/>
  <c r="E79" i="9"/>
  <c r="M78" i="9"/>
  <c r="L78" i="9"/>
  <c r="F78" i="9"/>
  <c r="E78" i="9"/>
  <c r="F77" i="9"/>
  <c r="E77" i="9"/>
  <c r="H76" i="9"/>
  <c r="F76" i="9"/>
  <c r="E76" i="9"/>
  <c r="H75" i="9"/>
  <c r="F75" i="9"/>
  <c r="E75" i="9"/>
  <c r="H74" i="9"/>
  <c r="E74" i="9"/>
  <c r="F74" i="9" s="1"/>
  <c r="H73" i="9"/>
  <c r="G73" i="9"/>
  <c r="E73" i="9"/>
  <c r="F73" i="9" s="1"/>
  <c r="G72" i="9"/>
  <c r="H72" i="9" s="1"/>
  <c r="E72" i="9"/>
  <c r="F72" i="9" s="1"/>
  <c r="H71" i="9"/>
  <c r="G71" i="9"/>
  <c r="E71" i="9"/>
  <c r="F71" i="9" s="1"/>
  <c r="G70" i="9"/>
  <c r="H70" i="9" s="1"/>
  <c r="E70" i="9"/>
  <c r="F70" i="9" s="1"/>
  <c r="L69" i="9"/>
  <c r="H69" i="9"/>
  <c r="G69" i="9"/>
  <c r="F69" i="9"/>
  <c r="E69" i="9"/>
  <c r="H68" i="9"/>
  <c r="E68" i="9"/>
  <c r="F68" i="9" s="1"/>
  <c r="L67" i="9"/>
  <c r="H67" i="9"/>
  <c r="E67" i="9"/>
  <c r="F67" i="9" s="1"/>
  <c r="L66" i="9"/>
  <c r="H66" i="9"/>
  <c r="E66" i="9"/>
  <c r="F66" i="9" s="1"/>
  <c r="L65" i="9"/>
  <c r="H65" i="9"/>
  <c r="E65" i="9"/>
  <c r="F65" i="9" s="1"/>
  <c r="L64" i="9"/>
  <c r="H64" i="9"/>
  <c r="G64" i="9"/>
  <c r="F64" i="9"/>
  <c r="E64" i="9"/>
  <c r="N63" i="9"/>
  <c r="L63" i="9"/>
  <c r="P63" i="9" s="1"/>
  <c r="H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I59" i="9"/>
  <c r="E59" i="9"/>
  <c r="F59" i="9" s="1"/>
  <c r="E58" i="9"/>
  <c r="F58" i="9" s="1"/>
  <c r="F57" i="9"/>
  <c r="E57" i="9"/>
  <c r="H56" i="9"/>
  <c r="F56" i="9"/>
  <c r="E56" i="9"/>
  <c r="O55" i="9"/>
  <c r="H55" i="9"/>
  <c r="F55" i="9"/>
  <c r="E55" i="9"/>
  <c r="H54" i="9"/>
  <c r="E54" i="9"/>
  <c r="F54" i="9" s="1"/>
  <c r="H53" i="9"/>
  <c r="F53" i="9"/>
  <c r="E53" i="9"/>
  <c r="H52" i="9"/>
  <c r="F52" i="9"/>
  <c r="E52" i="9"/>
  <c r="H51" i="9"/>
  <c r="F51" i="9"/>
  <c r="E51" i="9"/>
  <c r="K39" i="9"/>
  <c r="D38" i="9"/>
  <c r="F36" i="9" s="1"/>
  <c r="N37" i="9"/>
  <c r="K37" i="9"/>
  <c r="K38" i="9" s="1"/>
  <c r="D37" i="9"/>
  <c r="K36" i="9"/>
  <c r="D36" i="9"/>
  <c r="L31" i="9"/>
  <c r="E31" i="9"/>
  <c r="O29" i="9"/>
  <c r="M29" i="9"/>
  <c r="F29" i="9"/>
  <c r="D28" i="9"/>
  <c r="D32" i="9" s="1"/>
  <c r="L26" i="9"/>
  <c r="E26" i="9"/>
  <c r="D26" i="9"/>
  <c r="M25" i="9"/>
  <c r="E25" i="9"/>
  <c r="L24" i="9"/>
  <c r="F24" i="9"/>
  <c r="D24" i="9"/>
  <c r="F21" i="9"/>
  <c r="D21" i="9"/>
  <c r="L20" i="9"/>
  <c r="F20" i="9"/>
  <c r="D20" i="9"/>
  <c r="O19" i="9"/>
  <c r="N19" i="9"/>
  <c r="M19" i="9"/>
  <c r="L19" i="9"/>
  <c r="K19" i="9"/>
  <c r="J19" i="9"/>
  <c r="I19" i="9"/>
  <c r="H19" i="9"/>
  <c r="G19" i="9"/>
  <c r="F19" i="9"/>
  <c r="E19" i="9"/>
  <c r="D19" i="9"/>
  <c r="O18" i="9"/>
  <c r="N18" i="9"/>
  <c r="M18" i="9"/>
  <c r="L18" i="9"/>
  <c r="K18" i="9"/>
  <c r="J18" i="9"/>
  <c r="I18" i="9"/>
  <c r="H18" i="9"/>
  <c r="G18" i="9"/>
  <c r="F18" i="9"/>
  <c r="E18" i="9"/>
  <c r="D18" i="9"/>
  <c r="L15" i="9"/>
  <c r="L27" i="9" s="1"/>
  <c r="E15" i="9"/>
  <c r="E30" i="9" s="1"/>
  <c r="D15" i="9"/>
  <c r="D27" i="9" s="1"/>
  <c r="M14" i="9"/>
  <c r="K14" i="9"/>
  <c r="J14" i="9"/>
  <c r="J29" i="9" s="1"/>
  <c r="I14" i="9"/>
  <c r="G14" i="9"/>
  <c r="G24" i="9" s="1"/>
  <c r="E14" i="9"/>
  <c r="O13" i="9"/>
  <c r="O14" i="9" s="1"/>
  <c r="N13" i="9"/>
  <c r="N14" i="9" s="1"/>
  <c r="M13" i="9"/>
  <c r="L13" i="9"/>
  <c r="L14" i="9" s="1"/>
  <c r="K13" i="9"/>
  <c r="J13" i="9"/>
  <c r="I13" i="9"/>
  <c r="H13" i="9"/>
  <c r="H14" i="9" s="1"/>
  <c r="G13" i="9"/>
  <c r="F13" i="9"/>
  <c r="F14" i="9" s="1"/>
  <c r="F25" i="9" s="1"/>
  <c r="E13" i="9"/>
  <c r="D13" i="9"/>
  <c r="D14" i="9" s="1"/>
  <c r="H21" i="9" s="1"/>
  <c r="P11" i="9"/>
  <c r="H10" i="9"/>
  <c r="J20" i="9" s="1"/>
  <c r="D10" i="9"/>
  <c r="H20" i="9" s="1"/>
  <c r="R9" i="9"/>
  <c r="P9" i="9"/>
  <c r="P8" i="9"/>
  <c r="P7" i="9"/>
  <c r="K4" i="9"/>
  <c r="F4" i="9"/>
  <c r="L30" i="9" s="1"/>
  <c r="P131" i="8"/>
  <c r="O131" i="8"/>
  <c r="N131" i="8"/>
  <c r="F131" i="8"/>
  <c r="E131" i="8"/>
  <c r="N130" i="8"/>
  <c r="E130" i="8"/>
  <c r="F130" i="8" s="1"/>
  <c r="P129" i="8"/>
  <c r="O129" i="8"/>
  <c r="N129" i="8"/>
  <c r="F129" i="8"/>
  <c r="E129" i="8"/>
  <c r="P128" i="8"/>
  <c r="O128" i="8"/>
  <c r="N128" i="8"/>
  <c r="E128" i="8"/>
  <c r="F128" i="8" s="1"/>
  <c r="P127" i="8"/>
  <c r="O127" i="8"/>
  <c r="N127" i="8"/>
  <c r="F127" i="8"/>
  <c r="E127" i="8"/>
  <c r="P126" i="8"/>
  <c r="O126" i="8"/>
  <c r="N126" i="8"/>
  <c r="E126" i="8"/>
  <c r="F126" i="8" s="1"/>
  <c r="P125" i="8"/>
  <c r="O125" i="8"/>
  <c r="N125" i="8"/>
  <c r="E125" i="8"/>
  <c r="F125" i="8" s="1"/>
  <c r="P124" i="8"/>
  <c r="O124" i="8"/>
  <c r="N124" i="8"/>
  <c r="E124" i="8"/>
  <c r="F124" i="8" s="1"/>
  <c r="P123" i="8"/>
  <c r="R123" i="8" s="1"/>
  <c r="O123" i="8"/>
  <c r="N123" i="8"/>
  <c r="E123" i="8"/>
  <c r="F123" i="8" s="1"/>
  <c r="P122" i="8"/>
  <c r="O122" i="8"/>
  <c r="N122" i="8"/>
  <c r="F122" i="8"/>
  <c r="E122" i="8"/>
  <c r="P121" i="8"/>
  <c r="N121" i="8"/>
  <c r="F121" i="8"/>
  <c r="E121" i="8"/>
  <c r="P120" i="8"/>
  <c r="N120" i="8"/>
  <c r="F120" i="8"/>
  <c r="E120" i="8"/>
  <c r="N119" i="8"/>
  <c r="E119" i="8"/>
  <c r="F119" i="8" s="1"/>
  <c r="P118" i="8"/>
  <c r="N118" i="8"/>
  <c r="E118" i="8"/>
  <c r="F118" i="8" s="1"/>
  <c r="N117" i="8"/>
  <c r="F117" i="8"/>
  <c r="E117" i="8"/>
  <c r="N116" i="8"/>
  <c r="E116" i="8"/>
  <c r="F116" i="8" s="1"/>
  <c r="P115" i="8"/>
  <c r="N115" i="8"/>
  <c r="F115" i="8"/>
  <c r="E115" i="8"/>
  <c r="N114" i="8"/>
  <c r="F114" i="8"/>
  <c r="E114" i="8"/>
  <c r="P113" i="8"/>
  <c r="N113" i="8"/>
  <c r="F113" i="8"/>
  <c r="E113" i="8"/>
  <c r="P112" i="8"/>
  <c r="N112" i="8"/>
  <c r="F112" i="8"/>
  <c r="E112" i="8"/>
  <c r="N111" i="8"/>
  <c r="E111" i="8"/>
  <c r="F111" i="8" s="1"/>
  <c r="P110" i="8"/>
  <c r="N110" i="8"/>
  <c r="E110" i="8"/>
  <c r="F110" i="8" s="1"/>
  <c r="N109" i="8"/>
  <c r="F109" i="8"/>
  <c r="E109" i="8"/>
  <c r="P108" i="8"/>
  <c r="N108" i="8"/>
  <c r="F108" i="8"/>
  <c r="E108" i="8"/>
  <c r="P107" i="8"/>
  <c r="N107" i="8"/>
  <c r="F107" i="8"/>
  <c r="E107" i="8"/>
  <c r="P106" i="8"/>
  <c r="N106" i="8"/>
  <c r="F106" i="8"/>
  <c r="E106" i="8"/>
  <c r="P105" i="8"/>
  <c r="N105" i="8"/>
  <c r="F105" i="8"/>
  <c r="E105" i="8"/>
  <c r="N104" i="8"/>
  <c r="G104" i="8"/>
  <c r="H104" i="8" s="1"/>
  <c r="E104" i="8"/>
  <c r="F104" i="8" s="1"/>
  <c r="N103" i="8"/>
  <c r="F103" i="8"/>
  <c r="E103" i="8"/>
  <c r="P102" i="8"/>
  <c r="N102" i="8"/>
  <c r="F102" i="8"/>
  <c r="E102" i="8"/>
  <c r="P101" i="8"/>
  <c r="N101" i="8"/>
  <c r="E101" i="8"/>
  <c r="F101" i="8" s="1"/>
  <c r="N100" i="8"/>
  <c r="F100" i="8"/>
  <c r="E100" i="8"/>
  <c r="F99" i="8"/>
  <c r="E99" i="8"/>
  <c r="P98" i="8"/>
  <c r="N98" i="8"/>
  <c r="F98" i="8"/>
  <c r="E98" i="8"/>
  <c r="N97" i="8"/>
  <c r="E97" i="8"/>
  <c r="F97" i="8" s="1"/>
  <c r="N96" i="8"/>
  <c r="F96" i="8"/>
  <c r="E96" i="8"/>
  <c r="P95" i="8"/>
  <c r="N95" i="8"/>
  <c r="H95" i="8"/>
  <c r="E95" i="8"/>
  <c r="F95" i="8" s="1"/>
  <c r="N94" i="8"/>
  <c r="H94" i="8"/>
  <c r="E94" i="8"/>
  <c r="F94" i="8" s="1"/>
  <c r="N93" i="8"/>
  <c r="K93" i="8"/>
  <c r="H93" i="8"/>
  <c r="F93" i="8"/>
  <c r="E93" i="8"/>
  <c r="K92" i="8"/>
  <c r="H92" i="8"/>
  <c r="F92" i="8"/>
  <c r="E92" i="8"/>
  <c r="H91" i="8"/>
  <c r="E91" i="8"/>
  <c r="F91" i="8" s="1"/>
  <c r="E90" i="8"/>
  <c r="F90" i="8" s="1"/>
  <c r="J89" i="8"/>
  <c r="E89" i="8"/>
  <c r="F89" i="8" s="1"/>
  <c r="J88" i="8"/>
  <c r="E88" i="8"/>
  <c r="F88" i="8" s="1"/>
  <c r="E87" i="8"/>
  <c r="F87" i="8" s="1"/>
  <c r="E86" i="8"/>
  <c r="F86" i="8" s="1"/>
  <c r="H85" i="8"/>
  <c r="F85" i="8"/>
  <c r="E85" i="8"/>
  <c r="H84" i="8"/>
  <c r="E84" i="8"/>
  <c r="F84" i="8" s="1"/>
  <c r="H83" i="8"/>
  <c r="E83" i="8"/>
  <c r="F83" i="8" s="1"/>
  <c r="H82" i="8"/>
  <c r="E82" i="8"/>
  <c r="F82" i="8" s="1"/>
  <c r="H81" i="8"/>
  <c r="F81" i="8"/>
  <c r="E81" i="8"/>
  <c r="H80" i="8"/>
  <c r="E80" i="8"/>
  <c r="F80" i="8" s="1"/>
  <c r="G79" i="8"/>
  <c r="H79" i="8" s="1"/>
  <c r="E79" i="8"/>
  <c r="F79" i="8" s="1"/>
  <c r="L78" i="8"/>
  <c r="E78" i="8"/>
  <c r="F78" i="8" s="1"/>
  <c r="E77" i="8"/>
  <c r="F77" i="8" s="1"/>
  <c r="H76" i="8"/>
  <c r="F76" i="8"/>
  <c r="E76" i="8"/>
  <c r="H75" i="8"/>
  <c r="E75" i="8"/>
  <c r="F75" i="8" s="1"/>
  <c r="H74" i="8"/>
  <c r="F74" i="8"/>
  <c r="E74" i="8"/>
  <c r="H73" i="8"/>
  <c r="G73" i="8"/>
  <c r="E73" i="8"/>
  <c r="F73" i="8" s="1"/>
  <c r="H72" i="8"/>
  <c r="G72" i="8"/>
  <c r="F72" i="8"/>
  <c r="E72" i="8"/>
  <c r="H71" i="8"/>
  <c r="G71" i="8"/>
  <c r="E71" i="8"/>
  <c r="F71" i="8" s="1"/>
  <c r="H70" i="8"/>
  <c r="G70" i="8"/>
  <c r="F70" i="8"/>
  <c r="E70" i="8"/>
  <c r="L69" i="8"/>
  <c r="G69" i="8"/>
  <c r="H69" i="8" s="1"/>
  <c r="E69" i="8"/>
  <c r="F69" i="8" s="1"/>
  <c r="H68" i="8"/>
  <c r="F68" i="8"/>
  <c r="E68" i="8"/>
  <c r="L67" i="8"/>
  <c r="H67" i="8"/>
  <c r="F67" i="8"/>
  <c r="E67" i="8"/>
  <c r="L66" i="8"/>
  <c r="H66" i="8"/>
  <c r="F66" i="8"/>
  <c r="E66" i="8"/>
  <c r="L65" i="8"/>
  <c r="H65" i="8"/>
  <c r="F65" i="8"/>
  <c r="E65" i="8"/>
  <c r="L64" i="8"/>
  <c r="G64" i="8"/>
  <c r="H64" i="8" s="1"/>
  <c r="E64" i="8"/>
  <c r="F64" i="8" s="1"/>
  <c r="N63" i="8"/>
  <c r="L63" i="8"/>
  <c r="H63" i="8"/>
  <c r="E63" i="8"/>
  <c r="F63" i="8" s="1"/>
  <c r="G62" i="8"/>
  <c r="H62" i="8" s="1"/>
  <c r="E62" i="8"/>
  <c r="F62" i="8" s="1"/>
  <c r="H61" i="8"/>
  <c r="G61" i="8"/>
  <c r="E61" i="8"/>
  <c r="F61" i="8" s="1"/>
  <c r="G60" i="8"/>
  <c r="H60" i="8" s="1"/>
  <c r="E60" i="8"/>
  <c r="F60" i="8" s="1"/>
  <c r="I59" i="8"/>
  <c r="F59" i="8"/>
  <c r="E59" i="8"/>
  <c r="F58" i="8"/>
  <c r="E58" i="8"/>
  <c r="F57" i="8"/>
  <c r="E57" i="8"/>
  <c r="H56" i="8"/>
  <c r="F56" i="8"/>
  <c r="E56" i="8"/>
  <c r="O55" i="8"/>
  <c r="H55" i="8"/>
  <c r="E55" i="8"/>
  <c r="F55" i="8" s="1"/>
  <c r="H54" i="8"/>
  <c r="E54" i="8"/>
  <c r="F54" i="8" s="1"/>
  <c r="H53" i="8"/>
  <c r="E53" i="8"/>
  <c r="F53" i="8" s="1"/>
  <c r="H52" i="8"/>
  <c r="F52" i="8"/>
  <c r="E52" i="8"/>
  <c r="H51" i="8"/>
  <c r="E51" i="8"/>
  <c r="F51" i="8" s="1"/>
  <c r="N37" i="8"/>
  <c r="D37" i="8"/>
  <c r="K36" i="8"/>
  <c r="D36" i="8"/>
  <c r="G32" i="8"/>
  <c r="I29" i="8"/>
  <c r="H29" i="8"/>
  <c r="F29" i="8"/>
  <c r="I28" i="8"/>
  <c r="I32" i="8" s="1"/>
  <c r="H28" i="8"/>
  <c r="H32" i="8" s="1"/>
  <c r="G28" i="8"/>
  <c r="I26" i="8"/>
  <c r="G26" i="8"/>
  <c r="I25" i="8"/>
  <c r="H25" i="8"/>
  <c r="K24" i="8"/>
  <c r="I24" i="8"/>
  <c r="O20" i="8"/>
  <c r="N20" i="8"/>
  <c r="M20" i="8"/>
  <c r="L20" i="8"/>
  <c r="K20" i="8"/>
  <c r="J20" i="8"/>
  <c r="I20" i="8"/>
  <c r="H20" i="8"/>
  <c r="G20" i="8"/>
  <c r="F20" i="8"/>
  <c r="E20" i="8"/>
  <c r="D20" i="8"/>
  <c r="O19" i="8"/>
  <c r="N19" i="8"/>
  <c r="M19" i="8"/>
  <c r="L19" i="8"/>
  <c r="K19" i="8"/>
  <c r="J19" i="8"/>
  <c r="I19" i="8"/>
  <c r="H19" i="8"/>
  <c r="G19" i="8"/>
  <c r="F19" i="8"/>
  <c r="E19" i="8"/>
  <c r="D19" i="8"/>
  <c r="O18" i="8"/>
  <c r="N18" i="8"/>
  <c r="M18" i="8"/>
  <c r="L18" i="8"/>
  <c r="K18" i="8"/>
  <c r="J18" i="8"/>
  <c r="I18" i="8"/>
  <c r="H18" i="8"/>
  <c r="G18" i="8"/>
  <c r="F18" i="8"/>
  <c r="E18" i="8"/>
  <c r="D18" i="8"/>
  <c r="O15" i="8"/>
  <c r="K15" i="8"/>
  <c r="I15" i="8"/>
  <c r="I27" i="8" s="1"/>
  <c r="O14" i="8"/>
  <c r="O29" i="8" s="1"/>
  <c r="N14" i="8"/>
  <c r="N29" i="8" s="1"/>
  <c r="K14" i="8"/>
  <c r="K25" i="8" s="1"/>
  <c r="J14" i="8"/>
  <c r="J25" i="8" s="1"/>
  <c r="G14" i="8"/>
  <c r="F14" i="8"/>
  <c r="O13" i="8"/>
  <c r="N13" i="8"/>
  <c r="M13" i="8"/>
  <c r="M14" i="8" s="1"/>
  <c r="L13" i="8"/>
  <c r="L14" i="8" s="1"/>
  <c r="K13" i="8"/>
  <c r="J13" i="8"/>
  <c r="I13" i="8"/>
  <c r="H13" i="8"/>
  <c r="H14" i="8" s="1"/>
  <c r="G13" i="8"/>
  <c r="F13" i="8"/>
  <c r="E13" i="8"/>
  <c r="E14" i="8" s="1"/>
  <c r="D13" i="8"/>
  <c r="P11" i="8"/>
  <c r="R10" i="8"/>
  <c r="P10" i="8"/>
  <c r="R9" i="8"/>
  <c r="P9" i="8"/>
  <c r="P8" i="8"/>
  <c r="P7" i="8"/>
  <c r="K4" i="8"/>
  <c r="F4" i="8"/>
  <c r="P140" i="7"/>
  <c r="O140" i="7"/>
  <c r="N140" i="7"/>
  <c r="E140" i="7"/>
  <c r="F140" i="7" s="1"/>
  <c r="P139" i="7"/>
  <c r="O139" i="7"/>
  <c r="N139" i="7"/>
  <c r="F139" i="7"/>
  <c r="E139" i="7"/>
  <c r="P138" i="7"/>
  <c r="O138" i="7"/>
  <c r="N138" i="7"/>
  <c r="E138" i="7"/>
  <c r="F138" i="7" s="1"/>
  <c r="P137" i="7"/>
  <c r="O137" i="7"/>
  <c r="N137" i="7"/>
  <c r="E137" i="7"/>
  <c r="F137" i="7" s="1"/>
  <c r="P136" i="7"/>
  <c r="O136" i="7"/>
  <c r="N136" i="7"/>
  <c r="E136" i="7"/>
  <c r="F136" i="7" s="1"/>
  <c r="P135" i="7"/>
  <c r="O135" i="7"/>
  <c r="N135" i="7"/>
  <c r="F135" i="7"/>
  <c r="E135" i="7"/>
  <c r="P134" i="7"/>
  <c r="O134" i="7"/>
  <c r="N134" i="7"/>
  <c r="F134" i="7"/>
  <c r="E134" i="7"/>
  <c r="P133" i="7"/>
  <c r="O133" i="7"/>
  <c r="N133" i="7"/>
  <c r="F133" i="7"/>
  <c r="E133" i="7"/>
  <c r="O132" i="7"/>
  <c r="N132" i="7"/>
  <c r="E132" i="7"/>
  <c r="F132" i="7" s="1"/>
  <c r="P131" i="7"/>
  <c r="O131" i="7"/>
  <c r="N131" i="7"/>
  <c r="E131" i="7"/>
  <c r="F131" i="7" s="1"/>
  <c r="N130" i="7"/>
  <c r="E130" i="7"/>
  <c r="F130" i="7" s="1"/>
  <c r="P129" i="7"/>
  <c r="O129" i="7"/>
  <c r="N129" i="7"/>
  <c r="E129" i="7"/>
  <c r="F129" i="7" s="1"/>
  <c r="P128" i="7"/>
  <c r="O128" i="7"/>
  <c r="N128" i="7"/>
  <c r="E128" i="7"/>
  <c r="F128" i="7" s="1"/>
  <c r="P127" i="7"/>
  <c r="O127" i="7"/>
  <c r="N127" i="7"/>
  <c r="F127" i="7"/>
  <c r="E127" i="7"/>
  <c r="P126" i="7"/>
  <c r="O126" i="7"/>
  <c r="N126" i="7"/>
  <c r="F126" i="7"/>
  <c r="E126" i="7"/>
  <c r="P125" i="7"/>
  <c r="O125" i="7"/>
  <c r="N125" i="7"/>
  <c r="E125" i="7"/>
  <c r="F125" i="7" s="1"/>
  <c r="P124" i="7"/>
  <c r="O124" i="7"/>
  <c r="N124" i="7"/>
  <c r="F124" i="7"/>
  <c r="E124" i="7"/>
  <c r="P123" i="7"/>
  <c r="O123" i="7"/>
  <c r="N123" i="7"/>
  <c r="F123" i="7"/>
  <c r="E123" i="7"/>
  <c r="P122" i="7"/>
  <c r="O122" i="7"/>
  <c r="N122" i="7"/>
  <c r="E122" i="7"/>
  <c r="F122" i="7" s="1"/>
  <c r="P121" i="7"/>
  <c r="N121" i="7"/>
  <c r="E121" i="7"/>
  <c r="F121" i="7" s="1"/>
  <c r="P120" i="7"/>
  <c r="N120" i="7"/>
  <c r="E120" i="7"/>
  <c r="F120" i="7" s="1"/>
  <c r="N119" i="7"/>
  <c r="F119" i="7"/>
  <c r="E119" i="7"/>
  <c r="P118" i="7"/>
  <c r="N118" i="7"/>
  <c r="E118" i="7"/>
  <c r="F118" i="7" s="1"/>
  <c r="N117" i="7"/>
  <c r="E117" i="7"/>
  <c r="F117" i="7" s="1"/>
  <c r="N116" i="7"/>
  <c r="F116" i="7"/>
  <c r="E116" i="7"/>
  <c r="P115" i="7"/>
  <c r="N115" i="7"/>
  <c r="F115" i="7"/>
  <c r="E115" i="7"/>
  <c r="N114" i="7"/>
  <c r="E114" i="7"/>
  <c r="F114" i="7" s="1"/>
  <c r="P113" i="7"/>
  <c r="N113" i="7"/>
  <c r="E113" i="7"/>
  <c r="F113" i="7" s="1"/>
  <c r="P112" i="7"/>
  <c r="N112" i="7"/>
  <c r="E112" i="7"/>
  <c r="F112" i="7" s="1"/>
  <c r="N111" i="7"/>
  <c r="E111" i="7"/>
  <c r="F111" i="7" s="1"/>
  <c r="P110" i="7"/>
  <c r="N110" i="7"/>
  <c r="F110" i="7"/>
  <c r="E110" i="7"/>
  <c r="N109" i="7"/>
  <c r="F109" i="7"/>
  <c r="E109" i="7"/>
  <c r="P108" i="7"/>
  <c r="N108" i="7"/>
  <c r="E108" i="7"/>
  <c r="F108" i="7" s="1"/>
  <c r="P107" i="7"/>
  <c r="N107" i="7"/>
  <c r="F107" i="7"/>
  <c r="E107" i="7"/>
  <c r="P106" i="7"/>
  <c r="N106" i="7"/>
  <c r="E106" i="7"/>
  <c r="F106" i="7" s="1"/>
  <c r="P105" i="7"/>
  <c r="N105" i="7"/>
  <c r="F105" i="7"/>
  <c r="E105" i="7"/>
  <c r="N104" i="7"/>
  <c r="G104" i="7"/>
  <c r="H104" i="7" s="1"/>
  <c r="F104" i="7"/>
  <c r="E104" i="7"/>
  <c r="N103" i="7"/>
  <c r="F103" i="7"/>
  <c r="E103" i="7"/>
  <c r="P102" i="7"/>
  <c r="N102" i="7"/>
  <c r="E102" i="7"/>
  <c r="F102" i="7" s="1"/>
  <c r="P101" i="7"/>
  <c r="O101" i="7"/>
  <c r="N101" i="7"/>
  <c r="F101" i="7"/>
  <c r="E101" i="7"/>
  <c r="N100" i="7"/>
  <c r="E100" i="7"/>
  <c r="F100" i="7" s="1"/>
  <c r="E99" i="7"/>
  <c r="F99" i="7" s="1"/>
  <c r="P98" i="7"/>
  <c r="N98" i="7"/>
  <c r="E98" i="7"/>
  <c r="F98" i="7" s="1"/>
  <c r="N97" i="7"/>
  <c r="F97" i="7"/>
  <c r="E97" i="7"/>
  <c r="N96" i="7"/>
  <c r="F96" i="7"/>
  <c r="E96" i="7"/>
  <c r="P95" i="7"/>
  <c r="N95" i="7"/>
  <c r="H95" i="7"/>
  <c r="F95" i="7"/>
  <c r="E95" i="7"/>
  <c r="N94" i="7"/>
  <c r="H94" i="7"/>
  <c r="F94" i="7"/>
  <c r="E94" i="7"/>
  <c r="N93" i="7"/>
  <c r="K93" i="7"/>
  <c r="H93" i="7"/>
  <c r="E93" i="7"/>
  <c r="F93" i="7" s="1"/>
  <c r="K92" i="7"/>
  <c r="H92" i="7"/>
  <c r="E92" i="7"/>
  <c r="F92" i="7" s="1"/>
  <c r="H91" i="7"/>
  <c r="F91" i="7"/>
  <c r="E91" i="7"/>
  <c r="F90" i="7"/>
  <c r="E90" i="7"/>
  <c r="J89" i="7"/>
  <c r="E89" i="7"/>
  <c r="F89" i="7" s="1"/>
  <c r="J88" i="7"/>
  <c r="F88" i="7"/>
  <c r="E88" i="7"/>
  <c r="F87" i="7"/>
  <c r="E87" i="7"/>
  <c r="F86" i="7"/>
  <c r="E86" i="7"/>
  <c r="H85" i="7"/>
  <c r="F85" i="7"/>
  <c r="E85" i="7"/>
  <c r="H84" i="7"/>
  <c r="F84" i="7"/>
  <c r="E84" i="7"/>
  <c r="H83" i="7"/>
  <c r="E83" i="7"/>
  <c r="F83" i="7" s="1"/>
  <c r="H82" i="7"/>
  <c r="F82" i="7"/>
  <c r="E82" i="7"/>
  <c r="H81" i="7"/>
  <c r="F81" i="7"/>
  <c r="E81" i="7"/>
  <c r="H80" i="7"/>
  <c r="E80" i="7"/>
  <c r="F80" i="7" s="1"/>
  <c r="H79" i="7"/>
  <c r="G79" i="7"/>
  <c r="F79" i="7"/>
  <c r="E79" i="7"/>
  <c r="L78" i="7"/>
  <c r="E78" i="7"/>
  <c r="F78" i="7" s="1"/>
  <c r="F77" i="7"/>
  <c r="E77" i="7"/>
  <c r="M78" i="7" s="1"/>
  <c r="H76" i="7"/>
  <c r="F76" i="7"/>
  <c r="E76" i="7"/>
  <c r="H75" i="7"/>
  <c r="E75" i="7"/>
  <c r="F75" i="7" s="1"/>
  <c r="H74" i="7"/>
  <c r="E74" i="7"/>
  <c r="F74" i="7" s="1"/>
  <c r="H73" i="7"/>
  <c r="G73" i="7"/>
  <c r="E73" i="7"/>
  <c r="F73" i="7" s="1"/>
  <c r="G72" i="7"/>
  <c r="H72" i="7" s="1"/>
  <c r="E72" i="7"/>
  <c r="F72" i="7" s="1"/>
  <c r="H71" i="7"/>
  <c r="G71" i="7"/>
  <c r="E71" i="7"/>
  <c r="F71" i="7" s="1"/>
  <c r="H70" i="7"/>
  <c r="G70" i="7"/>
  <c r="E70" i="7"/>
  <c r="F70" i="7" s="1"/>
  <c r="L69" i="7"/>
  <c r="H69" i="7"/>
  <c r="G69" i="7"/>
  <c r="F69" i="7"/>
  <c r="E69" i="7"/>
  <c r="H68" i="7"/>
  <c r="E68" i="7"/>
  <c r="F68" i="7" s="1"/>
  <c r="L67" i="7"/>
  <c r="H67" i="7"/>
  <c r="E67" i="7"/>
  <c r="F67" i="7" s="1"/>
  <c r="L66" i="7"/>
  <c r="H66" i="7"/>
  <c r="E66" i="7"/>
  <c r="F66" i="7" s="1"/>
  <c r="L65" i="7"/>
  <c r="H65" i="7"/>
  <c r="E65" i="7"/>
  <c r="F65" i="7" s="1"/>
  <c r="L64" i="7"/>
  <c r="H64" i="7"/>
  <c r="G64" i="7"/>
  <c r="F64" i="7"/>
  <c r="E64" i="7"/>
  <c r="N63" i="7"/>
  <c r="L63" i="7"/>
  <c r="P63" i="7" s="1"/>
  <c r="H63" i="7"/>
  <c r="F63" i="7"/>
  <c r="E63" i="7"/>
  <c r="H62" i="7"/>
  <c r="G62" i="7"/>
  <c r="E62" i="7"/>
  <c r="F62" i="7" s="1"/>
  <c r="H61" i="7"/>
  <c r="G61" i="7"/>
  <c r="F61" i="7"/>
  <c r="E61" i="7"/>
  <c r="H60" i="7"/>
  <c r="G60" i="7"/>
  <c r="E60" i="7"/>
  <c r="F60" i="7" s="1"/>
  <c r="I59" i="7"/>
  <c r="F59" i="7"/>
  <c r="E59" i="7"/>
  <c r="E58" i="7"/>
  <c r="F58" i="7" s="1"/>
  <c r="F57" i="7"/>
  <c r="E57" i="7"/>
  <c r="H56" i="7"/>
  <c r="F56" i="7"/>
  <c r="E56" i="7"/>
  <c r="O55" i="7"/>
  <c r="H55" i="7"/>
  <c r="F55" i="7"/>
  <c r="E55" i="7"/>
  <c r="H54" i="7"/>
  <c r="E54" i="7"/>
  <c r="F54" i="7" s="1"/>
  <c r="H53" i="7"/>
  <c r="F53" i="7"/>
  <c r="E53" i="7"/>
  <c r="H52" i="7"/>
  <c r="F52" i="7"/>
  <c r="E52" i="7"/>
  <c r="H51" i="7"/>
  <c r="E51" i="7"/>
  <c r="F51" i="7" s="1"/>
  <c r="N37" i="7"/>
  <c r="D37" i="7"/>
  <c r="K36" i="7"/>
  <c r="D36" i="7"/>
  <c r="D38" i="7" s="1"/>
  <c r="K29" i="7"/>
  <c r="J29" i="7"/>
  <c r="I29" i="7"/>
  <c r="J27" i="7"/>
  <c r="I27" i="7"/>
  <c r="N26" i="7"/>
  <c r="J26" i="7"/>
  <c r="I26" i="7"/>
  <c r="K25" i="7"/>
  <c r="I25" i="7"/>
  <c r="K24" i="7"/>
  <c r="J24" i="7"/>
  <c r="I24" i="7"/>
  <c r="H24" i="7"/>
  <c r="O20" i="7"/>
  <c r="N20" i="7"/>
  <c r="M20" i="7"/>
  <c r="L20" i="7"/>
  <c r="K20" i="7"/>
  <c r="J20" i="7"/>
  <c r="I20" i="7"/>
  <c r="H20" i="7"/>
  <c r="G20" i="7"/>
  <c r="F20" i="7"/>
  <c r="E20" i="7"/>
  <c r="D20" i="7"/>
  <c r="O19" i="7"/>
  <c r="N19" i="7"/>
  <c r="M19" i="7"/>
  <c r="L19" i="7"/>
  <c r="K19" i="7"/>
  <c r="J19" i="7"/>
  <c r="I19" i="7"/>
  <c r="H19" i="7"/>
  <c r="G19" i="7"/>
  <c r="F19" i="7"/>
  <c r="E19" i="7"/>
  <c r="D19" i="7"/>
  <c r="O18" i="7"/>
  <c r="N18" i="7"/>
  <c r="M18" i="7"/>
  <c r="L18" i="7"/>
  <c r="K18" i="7"/>
  <c r="J18" i="7"/>
  <c r="I18" i="7"/>
  <c r="H18" i="7"/>
  <c r="G18" i="7"/>
  <c r="F18" i="7"/>
  <c r="E18" i="7"/>
  <c r="D18" i="7"/>
  <c r="K15" i="7"/>
  <c r="K31" i="7" s="1"/>
  <c r="J15" i="7"/>
  <c r="J31" i="7" s="1"/>
  <c r="I15" i="7"/>
  <c r="O14" i="7"/>
  <c r="O24" i="7" s="1"/>
  <c r="N14" i="7"/>
  <c r="M14" i="7"/>
  <c r="K14" i="7"/>
  <c r="J14" i="7"/>
  <c r="J25" i="7" s="1"/>
  <c r="G14" i="7"/>
  <c r="G24" i="7" s="1"/>
  <c r="F14" i="7"/>
  <c r="F28" i="7" s="1"/>
  <c r="F32" i="7" s="1"/>
  <c r="E14" i="7"/>
  <c r="O13" i="7"/>
  <c r="N13" i="7"/>
  <c r="M13" i="7"/>
  <c r="L13" i="7"/>
  <c r="L14" i="7" s="1"/>
  <c r="K13" i="7"/>
  <c r="J13" i="7"/>
  <c r="I13" i="7"/>
  <c r="H13" i="7"/>
  <c r="H14" i="7" s="1"/>
  <c r="H25" i="7" s="1"/>
  <c r="G13" i="7"/>
  <c r="F13" i="7"/>
  <c r="E13" i="7"/>
  <c r="D13" i="7"/>
  <c r="P11" i="7"/>
  <c r="T13" i="7" s="1"/>
  <c r="T15" i="7" s="1"/>
  <c r="P10" i="7"/>
  <c r="P9" i="7"/>
  <c r="P8" i="7"/>
  <c r="P7" i="7"/>
  <c r="K4" i="7"/>
  <c r="F4" i="7"/>
  <c r="I28" i="7" s="1"/>
  <c r="I32" i="7" s="1"/>
  <c r="P151" i="6"/>
  <c r="O151" i="6"/>
  <c r="N151" i="6"/>
  <c r="E151" i="6"/>
  <c r="F151" i="6" s="1"/>
  <c r="P150" i="6"/>
  <c r="O150" i="6"/>
  <c r="N150" i="6"/>
  <c r="E150" i="6"/>
  <c r="F150" i="6" s="1"/>
  <c r="P149" i="6"/>
  <c r="O149" i="6"/>
  <c r="N149" i="6"/>
  <c r="E149" i="6"/>
  <c r="F149" i="6" s="1"/>
  <c r="P148" i="6"/>
  <c r="O148" i="6"/>
  <c r="N148" i="6"/>
  <c r="F148" i="6"/>
  <c r="E148" i="6"/>
  <c r="P147" i="6"/>
  <c r="O147" i="6"/>
  <c r="N147" i="6"/>
  <c r="E147" i="6"/>
  <c r="F147" i="6" s="1"/>
  <c r="P146" i="6"/>
  <c r="O146" i="6"/>
  <c r="N146" i="6"/>
  <c r="E146" i="6"/>
  <c r="F146" i="6" s="1"/>
  <c r="P145" i="6"/>
  <c r="O145" i="6"/>
  <c r="N145" i="6"/>
  <c r="E145" i="6"/>
  <c r="F145" i="6" s="1"/>
  <c r="P144" i="6"/>
  <c r="O144" i="6"/>
  <c r="N144" i="6"/>
  <c r="F144" i="6"/>
  <c r="E144" i="6"/>
  <c r="P143" i="6"/>
  <c r="O143" i="6"/>
  <c r="N143" i="6"/>
  <c r="F143" i="6"/>
  <c r="E143" i="6"/>
  <c r="P142" i="6"/>
  <c r="O142" i="6"/>
  <c r="N142" i="6"/>
  <c r="E142" i="6"/>
  <c r="F142" i="6" s="1"/>
  <c r="P141" i="6"/>
  <c r="O141" i="6"/>
  <c r="N141" i="6"/>
  <c r="E141" i="6"/>
  <c r="F141" i="6" s="1"/>
  <c r="P140" i="6"/>
  <c r="O140" i="6"/>
  <c r="N140" i="6"/>
  <c r="F140" i="6"/>
  <c r="E140" i="6"/>
  <c r="P139" i="6"/>
  <c r="O139" i="6"/>
  <c r="N139" i="6"/>
  <c r="F139" i="6"/>
  <c r="E139" i="6"/>
  <c r="P138" i="6"/>
  <c r="O138" i="6"/>
  <c r="N138" i="6"/>
  <c r="E138" i="6"/>
  <c r="F138" i="6" s="1"/>
  <c r="P137" i="6"/>
  <c r="O137" i="6"/>
  <c r="N137" i="6"/>
  <c r="E137" i="6"/>
  <c r="F137" i="6" s="1"/>
  <c r="P136" i="6"/>
  <c r="O136" i="6"/>
  <c r="N136" i="6"/>
  <c r="F136" i="6"/>
  <c r="E136" i="6"/>
  <c r="P135" i="6"/>
  <c r="O135" i="6"/>
  <c r="N135" i="6"/>
  <c r="F135" i="6"/>
  <c r="E135" i="6"/>
  <c r="P134" i="6"/>
  <c r="O134" i="6"/>
  <c r="N134" i="6"/>
  <c r="F134" i="6"/>
  <c r="E134" i="6"/>
  <c r="P133" i="6"/>
  <c r="O133" i="6"/>
  <c r="N133" i="6"/>
  <c r="E133" i="6"/>
  <c r="F133" i="6" s="1"/>
  <c r="O132" i="6"/>
  <c r="N132" i="6"/>
  <c r="F132" i="6"/>
  <c r="E132" i="6"/>
  <c r="P131" i="6"/>
  <c r="O131" i="6"/>
  <c r="N131" i="6"/>
  <c r="E131" i="6"/>
  <c r="F131" i="6" s="1"/>
  <c r="N130" i="6"/>
  <c r="F130" i="6"/>
  <c r="E130" i="6"/>
  <c r="P129" i="6"/>
  <c r="O129" i="6"/>
  <c r="N129" i="6"/>
  <c r="E129" i="6"/>
  <c r="F129" i="6" s="1"/>
  <c r="P128" i="6"/>
  <c r="O128" i="6"/>
  <c r="N128" i="6"/>
  <c r="E128" i="6"/>
  <c r="F128" i="6" s="1"/>
  <c r="P127" i="6"/>
  <c r="O127" i="6"/>
  <c r="N127" i="6"/>
  <c r="F127" i="6"/>
  <c r="E127" i="6"/>
  <c r="P126" i="6"/>
  <c r="O126" i="6"/>
  <c r="N126" i="6"/>
  <c r="E126" i="6"/>
  <c r="F126" i="6" s="1"/>
  <c r="P125" i="6"/>
  <c r="O125" i="6"/>
  <c r="N125" i="6"/>
  <c r="F125" i="6"/>
  <c r="E125" i="6"/>
  <c r="P124" i="6"/>
  <c r="O124" i="6"/>
  <c r="N124" i="6"/>
  <c r="E124" i="6"/>
  <c r="F124" i="6" s="1"/>
  <c r="R123" i="6"/>
  <c r="P123" i="6"/>
  <c r="O123" i="6"/>
  <c r="N123" i="6"/>
  <c r="E123" i="6"/>
  <c r="F123" i="6" s="1"/>
  <c r="P122" i="6"/>
  <c r="O122" i="6"/>
  <c r="N122" i="6"/>
  <c r="F122" i="6"/>
  <c r="E122" i="6"/>
  <c r="P121" i="6"/>
  <c r="N121" i="6"/>
  <c r="E121" i="6"/>
  <c r="F121" i="6" s="1"/>
  <c r="P120" i="6"/>
  <c r="N120" i="6"/>
  <c r="F120" i="6"/>
  <c r="E120" i="6"/>
  <c r="N119" i="6"/>
  <c r="E119" i="6"/>
  <c r="F119" i="6" s="1"/>
  <c r="P118" i="6"/>
  <c r="N118" i="6"/>
  <c r="E118" i="6"/>
  <c r="F118" i="6" s="1"/>
  <c r="N117" i="6"/>
  <c r="E117" i="6"/>
  <c r="F117" i="6" s="1"/>
  <c r="N116" i="6"/>
  <c r="E116" i="6"/>
  <c r="F116" i="6" s="1"/>
  <c r="P115" i="6"/>
  <c r="N115" i="6"/>
  <c r="F115" i="6"/>
  <c r="E115" i="6"/>
  <c r="N114" i="6"/>
  <c r="F114" i="6"/>
  <c r="E114" i="6"/>
  <c r="P113" i="6"/>
  <c r="N113" i="6"/>
  <c r="F113" i="6"/>
  <c r="E113" i="6"/>
  <c r="P112" i="6"/>
  <c r="N112" i="6"/>
  <c r="F112" i="6"/>
  <c r="E112" i="6"/>
  <c r="N111" i="6"/>
  <c r="E111" i="6"/>
  <c r="F111" i="6" s="1"/>
  <c r="P110" i="6"/>
  <c r="N110" i="6"/>
  <c r="E110" i="6"/>
  <c r="F110" i="6" s="1"/>
  <c r="N109" i="6"/>
  <c r="E109" i="6"/>
  <c r="F109" i="6" s="1"/>
  <c r="P108" i="6"/>
  <c r="N108" i="6"/>
  <c r="E108" i="6"/>
  <c r="F108" i="6" s="1"/>
  <c r="P107" i="6"/>
  <c r="N107" i="6"/>
  <c r="F107" i="6"/>
  <c r="E107" i="6"/>
  <c r="P106" i="6"/>
  <c r="N106" i="6"/>
  <c r="E106" i="6"/>
  <c r="F106" i="6" s="1"/>
  <c r="P105" i="6"/>
  <c r="N105" i="6"/>
  <c r="E105" i="6"/>
  <c r="F105" i="6" s="1"/>
  <c r="N104" i="6"/>
  <c r="H104" i="6"/>
  <c r="G104" i="6"/>
  <c r="E104" i="6"/>
  <c r="F104" i="6" s="1"/>
  <c r="N103" i="6"/>
  <c r="F103" i="6"/>
  <c r="E103" i="6"/>
  <c r="P102" i="6"/>
  <c r="N102" i="6"/>
  <c r="E102" i="6"/>
  <c r="F102" i="6" s="1"/>
  <c r="P101" i="6"/>
  <c r="N101" i="6"/>
  <c r="O101" i="6" s="1"/>
  <c r="F101" i="6"/>
  <c r="E101" i="6"/>
  <c r="N100" i="6"/>
  <c r="E100" i="6"/>
  <c r="F100" i="6" s="1"/>
  <c r="E99" i="6"/>
  <c r="F99" i="6" s="1"/>
  <c r="P98" i="6"/>
  <c r="N98" i="6"/>
  <c r="F98" i="6"/>
  <c r="E98" i="6"/>
  <c r="N97" i="6"/>
  <c r="E97" i="6"/>
  <c r="F97" i="6" s="1"/>
  <c r="N96" i="6"/>
  <c r="E96" i="6"/>
  <c r="F96" i="6" s="1"/>
  <c r="P95" i="6"/>
  <c r="N95" i="6"/>
  <c r="H95" i="6"/>
  <c r="E95" i="6"/>
  <c r="F95" i="6" s="1"/>
  <c r="N94" i="6"/>
  <c r="H94" i="6"/>
  <c r="E94" i="6"/>
  <c r="F94" i="6" s="1"/>
  <c r="N93" i="6"/>
  <c r="K93" i="6"/>
  <c r="H93" i="6"/>
  <c r="F93" i="6"/>
  <c r="E93" i="6"/>
  <c r="K92" i="6"/>
  <c r="H92" i="6"/>
  <c r="F92" i="6"/>
  <c r="E92" i="6"/>
  <c r="H91" i="6"/>
  <c r="E91" i="6"/>
  <c r="F91" i="6" s="1"/>
  <c r="F90" i="6"/>
  <c r="E90" i="6"/>
  <c r="J89" i="6"/>
  <c r="F89" i="6"/>
  <c r="E89" i="6"/>
  <c r="J88" i="6"/>
  <c r="E88" i="6"/>
  <c r="F88" i="6" s="1"/>
  <c r="E87" i="6"/>
  <c r="F87" i="6" s="1"/>
  <c r="E86" i="6"/>
  <c r="F86" i="6" s="1"/>
  <c r="H85" i="6"/>
  <c r="E85" i="6"/>
  <c r="F85" i="6" s="1"/>
  <c r="H84" i="6"/>
  <c r="F84" i="6"/>
  <c r="E84" i="6"/>
  <c r="H83" i="6"/>
  <c r="F83" i="6"/>
  <c r="E83" i="6"/>
  <c r="H82" i="6"/>
  <c r="E82" i="6"/>
  <c r="F82" i="6" s="1"/>
  <c r="H81" i="6"/>
  <c r="F81" i="6"/>
  <c r="E81" i="6"/>
  <c r="H80" i="6"/>
  <c r="F80" i="6"/>
  <c r="E80" i="6"/>
  <c r="G79" i="6"/>
  <c r="H79" i="6" s="1"/>
  <c r="E79" i="6"/>
  <c r="F79" i="6" s="1"/>
  <c r="M78" i="6"/>
  <c r="L78" i="6"/>
  <c r="F78" i="6"/>
  <c r="E78" i="6"/>
  <c r="E77" i="6"/>
  <c r="F77" i="6" s="1"/>
  <c r="H76" i="6"/>
  <c r="E76" i="6"/>
  <c r="F76" i="6" s="1"/>
  <c r="H75" i="6"/>
  <c r="E75" i="6"/>
  <c r="F75" i="6" s="1"/>
  <c r="H74" i="6"/>
  <c r="E74" i="6"/>
  <c r="F74" i="6" s="1"/>
  <c r="G73" i="6"/>
  <c r="H73" i="6" s="1"/>
  <c r="F73" i="6"/>
  <c r="E73" i="6"/>
  <c r="H72" i="6"/>
  <c r="G72" i="6"/>
  <c r="E72" i="6"/>
  <c r="F72" i="6" s="1"/>
  <c r="G71" i="6"/>
  <c r="H71" i="6" s="1"/>
  <c r="F71" i="6"/>
  <c r="E71" i="6"/>
  <c r="H70" i="6"/>
  <c r="G70" i="6"/>
  <c r="E70" i="6"/>
  <c r="F70" i="6" s="1"/>
  <c r="L69" i="6"/>
  <c r="G69" i="6"/>
  <c r="H69" i="6" s="1"/>
  <c r="E69" i="6"/>
  <c r="F69" i="6" s="1"/>
  <c r="H68" i="6"/>
  <c r="F68" i="6"/>
  <c r="E68" i="6"/>
  <c r="L67" i="6"/>
  <c r="H67" i="6"/>
  <c r="F67" i="6"/>
  <c r="E67" i="6"/>
  <c r="L66" i="6"/>
  <c r="H66" i="6"/>
  <c r="F66" i="6"/>
  <c r="E66" i="6"/>
  <c r="L65" i="6"/>
  <c r="H65" i="6"/>
  <c r="F65" i="6"/>
  <c r="E65" i="6"/>
  <c r="L64" i="6"/>
  <c r="G64" i="6"/>
  <c r="H64" i="6" s="1"/>
  <c r="F64" i="6"/>
  <c r="E64" i="6"/>
  <c r="N63" i="6"/>
  <c r="P63" i="6" s="1"/>
  <c r="L63" i="6"/>
  <c r="H63" i="6"/>
  <c r="E63" i="6"/>
  <c r="F63" i="6" s="1"/>
  <c r="G62" i="6"/>
  <c r="H62" i="6" s="1"/>
  <c r="E62" i="6"/>
  <c r="F62" i="6" s="1"/>
  <c r="H61" i="6"/>
  <c r="G61" i="6"/>
  <c r="E61" i="6"/>
  <c r="F61" i="6" s="1"/>
  <c r="H60" i="6"/>
  <c r="G60" i="6"/>
  <c r="F60" i="6"/>
  <c r="E60" i="6"/>
  <c r="I59" i="6"/>
  <c r="F59" i="6"/>
  <c r="E59" i="6"/>
  <c r="E58" i="6"/>
  <c r="F58" i="6" s="1"/>
  <c r="E57" i="6"/>
  <c r="F57" i="6" s="1"/>
  <c r="H56" i="6"/>
  <c r="F56" i="6"/>
  <c r="E56" i="6"/>
  <c r="O55" i="6"/>
  <c r="H55" i="6"/>
  <c r="F55" i="6"/>
  <c r="E55" i="6"/>
  <c r="H54" i="6"/>
  <c r="F54" i="6"/>
  <c r="E54" i="6"/>
  <c r="H53" i="6"/>
  <c r="E53" i="6"/>
  <c r="F53" i="6" s="1"/>
  <c r="H52" i="6"/>
  <c r="F52" i="6"/>
  <c r="E52" i="6"/>
  <c r="H51" i="6"/>
  <c r="F51" i="6"/>
  <c r="E51" i="6"/>
  <c r="D38" i="6"/>
  <c r="F37" i="6" s="1"/>
  <c r="N37" i="6"/>
  <c r="K37" i="6"/>
  <c r="K39" i="6" s="1"/>
  <c r="D37" i="6"/>
  <c r="K36" i="6"/>
  <c r="D36" i="6"/>
  <c r="I30" i="6"/>
  <c r="M29" i="6"/>
  <c r="I29" i="6"/>
  <c r="E29" i="6"/>
  <c r="D29" i="6"/>
  <c r="M28" i="6"/>
  <c r="M32" i="6" s="1"/>
  <c r="K28" i="6"/>
  <c r="K32" i="6" s="1"/>
  <c r="D28" i="6"/>
  <c r="D32" i="6" s="1"/>
  <c r="I27" i="6"/>
  <c r="K26" i="6"/>
  <c r="I26" i="6"/>
  <c r="E26" i="6"/>
  <c r="D26" i="6"/>
  <c r="K25" i="6"/>
  <c r="I25" i="6"/>
  <c r="D25" i="6"/>
  <c r="I24" i="6"/>
  <c r="E24" i="6"/>
  <c r="E21" i="6"/>
  <c r="D21" i="6"/>
  <c r="O20" i="6"/>
  <c r="N20" i="6"/>
  <c r="M20" i="6"/>
  <c r="L20" i="6"/>
  <c r="K20" i="6"/>
  <c r="J20" i="6"/>
  <c r="I20" i="6"/>
  <c r="H20" i="6"/>
  <c r="G20" i="6"/>
  <c r="F20" i="6"/>
  <c r="E20" i="6"/>
  <c r="D20" i="6"/>
  <c r="O19" i="6"/>
  <c r="N19" i="6"/>
  <c r="M19" i="6"/>
  <c r="L19" i="6"/>
  <c r="K19" i="6"/>
  <c r="J19" i="6"/>
  <c r="I19" i="6"/>
  <c r="H19" i="6"/>
  <c r="G19" i="6"/>
  <c r="F19" i="6"/>
  <c r="E19" i="6"/>
  <c r="D19" i="6"/>
  <c r="O18" i="6"/>
  <c r="N18" i="6"/>
  <c r="M18" i="6"/>
  <c r="L18" i="6"/>
  <c r="K18" i="6"/>
  <c r="J18" i="6"/>
  <c r="I18" i="6"/>
  <c r="H18" i="6"/>
  <c r="G18" i="6"/>
  <c r="F18" i="6"/>
  <c r="E18" i="6"/>
  <c r="D18" i="6"/>
  <c r="I15" i="6"/>
  <c r="I31" i="6" s="1"/>
  <c r="E15" i="6"/>
  <c r="D15" i="6"/>
  <c r="D31" i="6" s="1"/>
  <c r="M14" i="6"/>
  <c r="M25" i="6" s="1"/>
  <c r="L14" i="6"/>
  <c r="L24" i="6" s="1"/>
  <c r="K14" i="6"/>
  <c r="J14" i="6"/>
  <c r="J28" i="6" s="1"/>
  <c r="J32" i="6" s="1"/>
  <c r="D14" i="6"/>
  <c r="T13" i="6"/>
  <c r="T15" i="6" s="1"/>
  <c r="O13" i="6"/>
  <c r="O14" i="6" s="1"/>
  <c r="O26" i="6" s="1"/>
  <c r="N13" i="6"/>
  <c r="N14" i="6" s="1"/>
  <c r="M13" i="6"/>
  <c r="L13" i="6"/>
  <c r="K13" i="6"/>
  <c r="J13" i="6"/>
  <c r="I13" i="6"/>
  <c r="H13" i="6"/>
  <c r="H14" i="6" s="1"/>
  <c r="G13" i="6"/>
  <c r="G14" i="6" s="1"/>
  <c r="G15" i="6" s="1"/>
  <c r="F13" i="6"/>
  <c r="F14" i="6" s="1"/>
  <c r="F26" i="6" s="1"/>
  <c r="E13" i="6"/>
  <c r="E14" i="6" s="1"/>
  <c r="E25" i="6" s="1"/>
  <c r="D13" i="6"/>
  <c r="P11" i="6"/>
  <c r="P10" i="6"/>
  <c r="P9" i="6"/>
  <c r="P8" i="6"/>
  <c r="P7" i="6"/>
  <c r="K4" i="6"/>
  <c r="F4" i="6"/>
  <c r="I28" i="6" s="1"/>
  <c r="I32" i="6" s="1"/>
  <c r="O152" i="1"/>
  <c r="N152" i="1"/>
  <c r="E152" i="1"/>
  <c r="F152" i="1" s="1"/>
  <c r="P151" i="1"/>
  <c r="O151" i="1"/>
  <c r="N151" i="1"/>
  <c r="E151" i="1"/>
  <c r="F151" i="1" s="1"/>
  <c r="P150" i="1"/>
  <c r="O150" i="1"/>
  <c r="N150" i="1"/>
  <c r="E150" i="1"/>
  <c r="F150" i="1" s="1"/>
  <c r="P149" i="1"/>
  <c r="O149" i="1"/>
  <c r="N149" i="1"/>
  <c r="F149" i="1"/>
  <c r="E149" i="1"/>
  <c r="P148" i="1"/>
  <c r="O148" i="1"/>
  <c r="N148" i="1"/>
  <c r="E148" i="1"/>
  <c r="F148" i="1" s="1"/>
  <c r="P147" i="1"/>
  <c r="O147" i="1"/>
  <c r="N147" i="1"/>
  <c r="E147" i="1"/>
  <c r="F147" i="1" s="1"/>
  <c r="P146" i="1"/>
  <c r="O146" i="1"/>
  <c r="N146" i="1"/>
  <c r="E146" i="1"/>
  <c r="F146" i="1" s="1"/>
  <c r="P145" i="1"/>
  <c r="O145" i="1"/>
  <c r="N145" i="1"/>
  <c r="E145" i="1"/>
  <c r="F145" i="1" s="1"/>
  <c r="P144" i="1"/>
  <c r="O144" i="1"/>
  <c r="N144" i="1"/>
  <c r="E144" i="1"/>
  <c r="F144" i="1" s="1"/>
  <c r="P143" i="1"/>
  <c r="O143" i="1"/>
  <c r="N143" i="1"/>
  <c r="F143" i="1"/>
  <c r="E143" i="1"/>
  <c r="P142" i="1"/>
  <c r="O142" i="1"/>
  <c r="N142" i="1"/>
  <c r="E142" i="1"/>
  <c r="F142" i="1" s="1"/>
  <c r="P141" i="1"/>
  <c r="O141" i="1"/>
  <c r="N141" i="1"/>
  <c r="F141" i="1"/>
  <c r="E141" i="1"/>
  <c r="P140" i="1"/>
  <c r="O140" i="1"/>
  <c r="N140" i="1"/>
  <c r="F140" i="1"/>
  <c r="E140" i="1"/>
  <c r="P139" i="1"/>
  <c r="O139" i="1"/>
  <c r="N139" i="1"/>
  <c r="E139" i="1"/>
  <c r="F139" i="1" s="1"/>
  <c r="P138" i="1"/>
  <c r="O138" i="1"/>
  <c r="N138" i="1"/>
  <c r="E138" i="1"/>
  <c r="F138" i="1" s="1"/>
  <c r="P137" i="1"/>
  <c r="O137" i="1"/>
  <c r="N137" i="1"/>
  <c r="E137" i="1"/>
  <c r="F137" i="1" s="1"/>
  <c r="P136" i="1"/>
  <c r="O136" i="1"/>
  <c r="N136" i="1"/>
  <c r="F136" i="1"/>
  <c r="E136" i="1"/>
  <c r="P135" i="1"/>
  <c r="O135" i="1"/>
  <c r="N135" i="1"/>
  <c r="F135" i="1"/>
  <c r="E135" i="1"/>
  <c r="P134" i="1"/>
  <c r="O134" i="1"/>
  <c r="N134" i="1"/>
  <c r="E134" i="1"/>
  <c r="F134" i="1" s="1"/>
  <c r="P133" i="1"/>
  <c r="O133" i="1"/>
  <c r="N133" i="1"/>
  <c r="F133" i="1"/>
  <c r="E133" i="1"/>
  <c r="O132" i="1"/>
  <c r="N132" i="1"/>
  <c r="E132" i="1"/>
  <c r="F132" i="1" s="1"/>
  <c r="P131" i="1"/>
  <c r="O131" i="1"/>
  <c r="N131" i="1"/>
  <c r="E131" i="1"/>
  <c r="F131" i="1" s="1"/>
  <c r="N130" i="1"/>
  <c r="E130" i="1"/>
  <c r="F130" i="1" s="1"/>
  <c r="P129" i="1"/>
  <c r="O129" i="1"/>
  <c r="N129" i="1"/>
  <c r="E129" i="1"/>
  <c r="F129" i="1" s="1"/>
  <c r="P128" i="1"/>
  <c r="O128" i="1"/>
  <c r="N128" i="1"/>
  <c r="E128" i="1"/>
  <c r="F128" i="1" s="1"/>
  <c r="P127" i="1"/>
  <c r="O127" i="1"/>
  <c r="N127" i="1"/>
  <c r="E127" i="1"/>
  <c r="F127" i="1" s="1"/>
  <c r="P126" i="1"/>
  <c r="O126" i="1"/>
  <c r="N126" i="1"/>
  <c r="F126" i="1"/>
  <c r="E126" i="1"/>
  <c r="P125" i="1"/>
  <c r="O125" i="1"/>
  <c r="N125" i="1"/>
  <c r="E125" i="1"/>
  <c r="F125" i="1" s="1"/>
  <c r="P124" i="1"/>
  <c r="O124" i="1"/>
  <c r="N124" i="1"/>
  <c r="F124" i="1"/>
  <c r="E124" i="1"/>
  <c r="R123" i="1"/>
  <c r="P123" i="1"/>
  <c r="O123" i="1"/>
  <c r="N123" i="1"/>
  <c r="F123" i="1"/>
  <c r="E123" i="1"/>
  <c r="P122" i="1"/>
  <c r="O122" i="1"/>
  <c r="N122" i="1"/>
  <c r="E122" i="1"/>
  <c r="F122" i="1" s="1"/>
  <c r="P121" i="1"/>
  <c r="N121" i="1"/>
  <c r="F121" i="1"/>
  <c r="E121" i="1"/>
  <c r="P120" i="1"/>
  <c r="N120" i="1"/>
  <c r="E120" i="1"/>
  <c r="F120" i="1" s="1"/>
  <c r="N119" i="1"/>
  <c r="F119" i="1"/>
  <c r="E119" i="1"/>
  <c r="P118" i="1"/>
  <c r="N118" i="1"/>
  <c r="F118" i="1"/>
  <c r="E118" i="1"/>
  <c r="N117" i="1"/>
  <c r="E117" i="1"/>
  <c r="F117" i="1" s="1"/>
  <c r="N116" i="1"/>
  <c r="E116" i="1"/>
  <c r="F116" i="1" s="1"/>
  <c r="P115" i="1"/>
  <c r="N115" i="1"/>
  <c r="E115" i="1"/>
  <c r="F115" i="1" s="1"/>
  <c r="N114" i="1"/>
  <c r="E114" i="1"/>
  <c r="F114" i="1" s="1"/>
  <c r="P113" i="1"/>
  <c r="N113" i="1"/>
  <c r="E113" i="1"/>
  <c r="F113" i="1" s="1"/>
  <c r="P112" i="1"/>
  <c r="N112" i="1"/>
  <c r="E112" i="1"/>
  <c r="F112" i="1" s="1"/>
  <c r="N111" i="1"/>
  <c r="E111" i="1"/>
  <c r="F111" i="1" s="1"/>
  <c r="P110" i="1"/>
  <c r="N110" i="1"/>
  <c r="F110" i="1"/>
  <c r="E110" i="1"/>
  <c r="N109" i="1"/>
  <c r="E109" i="1"/>
  <c r="F109" i="1" s="1"/>
  <c r="P108" i="1"/>
  <c r="N108" i="1"/>
  <c r="E108" i="1"/>
  <c r="F108" i="1" s="1"/>
  <c r="P107" i="1"/>
  <c r="N107" i="1"/>
  <c r="E107" i="1"/>
  <c r="F107" i="1" s="1"/>
  <c r="P106" i="1"/>
  <c r="N106" i="1"/>
  <c r="F106" i="1"/>
  <c r="E106" i="1"/>
  <c r="P105" i="1"/>
  <c r="N105" i="1"/>
  <c r="E105" i="1"/>
  <c r="F105" i="1" s="1"/>
  <c r="N104" i="1"/>
  <c r="G104" i="1"/>
  <c r="H104" i="1" s="1"/>
  <c r="F104" i="1"/>
  <c r="E104" i="1"/>
  <c r="N103" i="1"/>
  <c r="E103" i="1"/>
  <c r="F103" i="1" s="1"/>
  <c r="P102" i="1"/>
  <c r="N102" i="1"/>
  <c r="E102" i="1"/>
  <c r="F102" i="1" s="1"/>
  <c r="P101" i="1"/>
  <c r="N101" i="1"/>
  <c r="F101" i="1"/>
  <c r="E101" i="1"/>
  <c r="N100" i="1"/>
  <c r="O101" i="1" s="1"/>
  <c r="E100" i="1"/>
  <c r="F100" i="1" s="1"/>
  <c r="F99" i="1"/>
  <c r="E99" i="1"/>
  <c r="P98" i="1"/>
  <c r="N98" i="1"/>
  <c r="E98" i="1"/>
  <c r="F98" i="1" s="1"/>
  <c r="N97" i="1"/>
  <c r="F97" i="1"/>
  <c r="E97" i="1"/>
  <c r="N96" i="1"/>
  <c r="E96" i="1"/>
  <c r="F96" i="1" s="1"/>
  <c r="P95" i="1"/>
  <c r="N95" i="1"/>
  <c r="H95" i="1"/>
  <c r="F95" i="1"/>
  <c r="E95" i="1"/>
  <c r="N94" i="1"/>
  <c r="H94" i="1"/>
  <c r="E94" i="1"/>
  <c r="F94" i="1" s="1"/>
  <c r="N93" i="1"/>
  <c r="K93" i="1"/>
  <c r="H93" i="1"/>
  <c r="F93" i="1"/>
  <c r="E93" i="1"/>
  <c r="K92" i="1"/>
  <c r="H92" i="1"/>
  <c r="F92" i="1"/>
  <c r="E92" i="1"/>
  <c r="H91" i="1"/>
  <c r="F91" i="1"/>
  <c r="E91" i="1"/>
  <c r="F90" i="1"/>
  <c r="E90" i="1"/>
  <c r="J89" i="1"/>
  <c r="F89" i="1"/>
  <c r="E89" i="1"/>
  <c r="J88" i="1"/>
  <c r="F88" i="1"/>
  <c r="E88" i="1"/>
  <c r="E87" i="1"/>
  <c r="F87" i="1" s="1"/>
  <c r="F86" i="1"/>
  <c r="E86" i="1"/>
  <c r="H85" i="1"/>
  <c r="E85" i="1"/>
  <c r="F85" i="1" s="1"/>
  <c r="H84" i="1"/>
  <c r="E84" i="1"/>
  <c r="F84" i="1" s="1"/>
  <c r="H83" i="1"/>
  <c r="F83" i="1"/>
  <c r="E83" i="1"/>
  <c r="H82" i="1"/>
  <c r="F82" i="1"/>
  <c r="E82" i="1"/>
  <c r="H81" i="1"/>
  <c r="E81" i="1"/>
  <c r="F81" i="1" s="1"/>
  <c r="H80" i="1"/>
  <c r="F80" i="1"/>
  <c r="E80" i="1"/>
  <c r="H79" i="1"/>
  <c r="G79" i="1"/>
  <c r="E79" i="1"/>
  <c r="F79" i="1" s="1"/>
  <c r="L78" i="1"/>
  <c r="M78" i="1" s="1"/>
  <c r="E78" i="1"/>
  <c r="F78" i="1" s="1"/>
  <c r="F77" i="1"/>
  <c r="E77" i="1"/>
  <c r="H76" i="1"/>
  <c r="E76" i="1"/>
  <c r="F76" i="1" s="1"/>
  <c r="H75" i="1"/>
  <c r="E75" i="1"/>
  <c r="F75" i="1" s="1"/>
  <c r="H74" i="1"/>
  <c r="F74" i="1"/>
  <c r="E74" i="1"/>
  <c r="G73" i="1"/>
  <c r="H73" i="1" s="1"/>
  <c r="E73" i="1"/>
  <c r="F73" i="1" s="1"/>
  <c r="G72" i="1"/>
  <c r="H72" i="1" s="1"/>
  <c r="F72" i="1"/>
  <c r="E72" i="1"/>
  <c r="G71" i="1"/>
  <c r="H71" i="1" s="1"/>
  <c r="E71" i="1"/>
  <c r="F71" i="1" s="1"/>
  <c r="G70" i="1"/>
  <c r="H70" i="1" s="1"/>
  <c r="F70" i="1"/>
  <c r="E70" i="1"/>
  <c r="L69" i="1"/>
  <c r="H69" i="1"/>
  <c r="G69" i="1"/>
  <c r="E69" i="1"/>
  <c r="F69" i="1" s="1"/>
  <c r="H68" i="1"/>
  <c r="F68" i="1"/>
  <c r="E68" i="1"/>
  <c r="L67" i="1"/>
  <c r="H67" i="1"/>
  <c r="E67" i="1"/>
  <c r="F67" i="1" s="1"/>
  <c r="L66" i="1"/>
  <c r="H66" i="1"/>
  <c r="F66" i="1"/>
  <c r="E66" i="1"/>
  <c r="L65" i="1"/>
  <c r="H65" i="1"/>
  <c r="E65" i="1"/>
  <c r="F65" i="1" s="1"/>
  <c r="L64" i="1"/>
  <c r="H64" i="1"/>
  <c r="G64" i="1"/>
  <c r="E64" i="1"/>
  <c r="F64" i="1" s="1"/>
  <c r="N63" i="1"/>
  <c r="L63" i="1"/>
  <c r="P63" i="1" s="1"/>
  <c r="H63" i="1"/>
  <c r="F63" i="1"/>
  <c r="E63" i="1"/>
  <c r="H62" i="1"/>
  <c r="G62" i="1"/>
  <c r="E62" i="1"/>
  <c r="F62" i="1" s="1"/>
  <c r="G61" i="1"/>
  <c r="H61" i="1" s="1"/>
  <c r="F61" i="1"/>
  <c r="E61" i="1"/>
  <c r="H60" i="1"/>
  <c r="G60" i="1"/>
  <c r="E60" i="1"/>
  <c r="F60" i="1" s="1"/>
  <c r="I59" i="1"/>
  <c r="E59" i="1"/>
  <c r="F59" i="1" s="1"/>
  <c r="F58" i="1"/>
  <c r="E58" i="1"/>
  <c r="E57" i="1"/>
  <c r="F57" i="1" s="1"/>
  <c r="H56" i="1"/>
  <c r="F56" i="1"/>
  <c r="E56" i="1"/>
  <c r="O55" i="1"/>
  <c r="H55" i="1"/>
  <c r="E55" i="1"/>
  <c r="F55" i="1" s="1"/>
  <c r="H54" i="1"/>
  <c r="F54" i="1"/>
  <c r="E54" i="1"/>
  <c r="H53" i="1"/>
  <c r="F53" i="1"/>
  <c r="E53" i="1"/>
  <c r="H52" i="1"/>
  <c r="E52" i="1"/>
  <c r="F52" i="1" s="1"/>
  <c r="H51" i="1"/>
  <c r="F51" i="1"/>
  <c r="E51" i="1"/>
  <c r="N37" i="1"/>
  <c r="D37" i="1"/>
  <c r="K36" i="1"/>
  <c r="K37" i="1" s="1"/>
  <c r="I24" i="1"/>
  <c r="O20" i="1"/>
  <c r="N20" i="1"/>
  <c r="M20" i="1"/>
  <c r="L20" i="1"/>
  <c r="K20" i="1"/>
  <c r="J20" i="1"/>
  <c r="I20" i="1"/>
  <c r="H20" i="1"/>
  <c r="G20" i="1"/>
  <c r="F20" i="1"/>
  <c r="E20" i="1"/>
  <c r="D20" i="1"/>
  <c r="O19" i="1"/>
  <c r="N19" i="1"/>
  <c r="M19" i="1"/>
  <c r="L19" i="1"/>
  <c r="K19" i="1"/>
  <c r="J19" i="1"/>
  <c r="I19" i="1"/>
  <c r="H19" i="1"/>
  <c r="G19" i="1"/>
  <c r="F19" i="1"/>
  <c r="E19" i="1"/>
  <c r="D19" i="1"/>
  <c r="O18" i="1"/>
  <c r="N18" i="1"/>
  <c r="M18" i="1"/>
  <c r="L18" i="1"/>
  <c r="K18" i="1"/>
  <c r="J18" i="1"/>
  <c r="I18" i="1"/>
  <c r="H18" i="1"/>
  <c r="G18" i="1"/>
  <c r="F18" i="1"/>
  <c r="E18" i="1"/>
  <c r="D18" i="1"/>
  <c r="I15" i="1"/>
  <c r="K15" i="1"/>
  <c r="O13" i="1"/>
  <c r="N13" i="1"/>
  <c r="M13" i="1"/>
  <c r="L13" i="1"/>
  <c r="K13" i="1"/>
  <c r="J13" i="1"/>
  <c r="I13" i="1"/>
  <c r="H13" i="1"/>
  <c r="G13" i="1"/>
  <c r="G14" i="1" s="1"/>
  <c r="F13" i="1"/>
  <c r="F14" i="1" s="1"/>
  <c r="E13" i="1"/>
  <c r="E14" i="1" s="1"/>
  <c r="D13" i="1"/>
  <c r="D14" i="1" s="1"/>
  <c r="T13" i="1"/>
  <c r="P7" i="1"/>
  <c r="F4" i="1"/>
  <c r="G26" i="1" l="1"/>
  <c r="G15" i="1"/>
  <c r="G28" i="1"/>
  <c r="G29" i="1"/>
  <c r="D29" i="1"/>
  <c r="D26" i="1"/>
  <c r="D28" i="1"/>
  <c r="D32" i="1" s="1"/>
  <c r="D15" i="1"/>
  <c r="D27" i="1" s="1"/>
  <c r="F28" i="1"/>
  <c r="F29" i="1"/>
  <c r="F26" i="1"/>
  <c r="F15" i="1"/>
  <c r="E28" i="1"/>
  <c r="E32" i="1" s="1"/>
  <c r="E29" i="1"/>
  <c r="E26" i="1"/>
  <c r="E15" i="1"/>
  <c r="N24" i="1"/>
  <c r="E31" i="1"/>
  <c r="P13" i="1"/>
  <c r="K24" i="1"/>
  <c r="H27" i="1"/>
  <c r="H24" i="1"/>
  <c r="F24" i="1"/>
  <c r="H28" i="6"/>
  <c r="H32" i="6" s="1"/>
  <c r="H26" i="6"/>
  <c r="H15" i="6"/>
  <c r="H29" i="6"/>
  <c r="H25" i="6"/>
  <c r="H24" i="6"/>
  <c r="G31" i="6"/>
  <c r="G30" i="6"/>
  <c r="G27" i="6"/>
  <c r="K38" i="1"/>
  <c r="K39" i="1"/>
  <c r="L26" i="7"/>
  <c r="L29" i="7"/>
  <c r="L15" i="7"/>
  <c r="L28" i="7"/>
  <c r="L32" i="7" s="1"/>
  <c r="L25" i="7"/>
  <c r="L24" i="7"/>
  <c r="G24" i="1"/>
  <c r="G25" i="1"/>
  <c r="G32" i="1"/>
  <c r="O32" i="1"/>
  <c r="O25" i="1"/>
  <c r="N25" i="6"/>
  <c r="N28" i="6"/>
  <c r="N32" i="6" s="1"/>
  <c r="O25" i="7"/>
  <c r="L29" i="11"/>
  <c r="L25" i="11"/>
  <c r="L26" i="11"/>
  <c r="L15" i="11"/>
  <c r="D28" i="11"/>
  <c r="D32" i="11" s="1"/>
  <c r="G32" i="13"/>
  <c r="G29" i="13"/>
  <c r="G33" i="13"/>
  <c r="H32" i="1"/>
  <c r="M15" i="6"/>
  <c r="F26" i="7"/>
  <c r="P13" i="8"/>
  <c r="K37" i="8"/>
  <c r="K38" i="10"/>
  <c r="K39" i="10"/>
  <c r="H16" i="15"/>
  <c r="H20" i="15"/>
  <c r="F21" i="1"/>
  <c r="E25" i="1"/>
  <c r="M25" i="1"/>
  <c r="N15" i="6"/>
  <c r="O29" i="6"/>
  <c r="G25" i="7"/>
  <c r="E25" i="8"/>
  <c r="E29" i="8"/>
  <c r="E28" i="8"/>
  <c r="E32" i="8" s="1"/>
  <c r="E26" i="8"/>
  <c r="N25" i="9"/>
  <c r="N29" i="9"/>
  <c r="N28" i="9"/>
  <c r="N32" i="9" s="1"/>
  <c r="N26" i="9"/>
  <c r="N15" i="9"/>
  <c r="J24" i="10"/>
  <c r="F31" i="13"/>
  <c r="F27" i="13"/>
  <c r="F30" i="13"/>
  <c r="F34" i="13" s="1"/>
  <c r="F28" i="13"/>
  <c r="F17" i="13"/>
  <c r="F26" i="13"/>
  <c r="Q5" i="18"/>
  <c r="O20" i="19"/>
  <c r="O16" i="19"/>
  <c r="J15" i="1"/>
  <c r="E27" i="6"/>
  <c r="E30" i="6"/>
  <c r="O15" i="6"/>
  <c r="I21" i="6"/>
  <c r="G26" i="6"/>
  <c r="E28" i="6"/>
  <c r="E32" i="6" s="1"/>
  <c r="F29" i="6"/>
  <c r="K38" i="6"/>
  <c r="H15" i="7"/>
  <c r="H26" i="7"/>
  <c r="G28" i="7"/>
  <c r="G32" i="7" s="1"/>
  <c r="H29" i="7"/>
  <c r="K37" i="7"/>
  <c r="E24" i="8"/>
  <c r="O28" i="9"/>
  <c r="O32" i="9" s="1"/>
  <c r="O26" i="9"/>
  <c r="O15" i="9"/>
  <c r="O25" i="9"/>
  <c r="O24" i="9"/>
  <c r="F26" i="9"/>
  <c r="D30" i="9"/>
  <c r="O28" i="11"/>
  <c r="O32" i="11" s="1"/>
  <c r="O26" i="11"/>
  <c r="O15" i="11"/>
  <c r="O24" i="11"/>
  <c r="D15" i="11"/>
  <c r="D21" i="11"/>
  <c r="O25" i="11"/>
  <c r="O29" i="12"/>
  <c r="O25" i="12"/>
  <c r="O15" i="12"/>
  <c r="O24" i="12"/>
  <c r="O26" i="12"/>
  <c r="O28" i="12"/>
  <c r="O32" i="12" s="1"/>
  <c r="E28" i="13"/>
  <c r="E17" i="13"/>
  <c r="E26" i="13"/>
  <c r="E27" i="13"/>
  <c r="E30" i="13"/>
  <c r="E34" i="13" s="1"/>
  <c r="M28" i="13"/>
  <c r="M26" i="13"/>
  <c r="M27" i="13"/>
  <c r="M17" i="13"/>
  <c r="M30" i="13"/>
  <c r="M34" i="13" s="1"/>
  <c r="L29" i="14"/>
  <c r="J20" i="15"/>
  <c r="J26" i="15"/>
  <c r="K4" i="15"/>
  <c r="M22" i="15"/>
  <c r="E22" i="15"/>
  <c r="K22" i="15"/>
  <c r="J22" i="15"/>
  <c r="P12" i="15"/>
  <c r="G31" i="15"/>
  <c r="G28" i="15"/>
  <c r="G26" i="15"/>
  <c r="G17" i="15"/>
  <c r="G30" i="15"/>
  <c r="G34" i="15" s="1"/>
  <c r="G27" i="15"/>
  <c r="N26" i="6"/>
  <c r="E26" i="7"/>
  <c r="E29" i="7"/>
  <c r="E15" i="7"/>
  <c r="E24" i="7"/>
  <c r="E25" i="7"/>
  <c r="J29" i="11"/>
  <c r="J25" i="11"/>
  <c r="J24" i="11"/>
  <c r="J26" i="11"/>
  <c r="J28" i="11"/>
  <c r="J32" i="11" s="1"/>
  <c r="E21" i="1"/>
  <c r="L25" i="1"/>
  <c r="N29" i="6"/>
  <c r="F29" i="7"/>
  <c r="F15" i="7"/>
  <c r="F24" i="7"/>
  <c r="O31" i="8"/>
  <c r="O27" i="8"/>
  <c r="O30" i="8"/>
  <c r="D29" i="10"/>
  <c r="I21" i="10"/>
  <c r="P14" i="10"/>
  <c r="O21" i="10"/>
  <c r="G21" i="10"/>
  <c r="D25" i="10"/>
  <c r="M21" i="10"/>
  <c r="E21" i="10"/>
  <c r="K21" i="10"/>
  <c r="H21" i="10"/>
  <c r="F21" i="10"/>
  <c r="D28" i="10"/>
  <c r="D32" i="10" s="1"/>
  <c r="D21" i="10"/>
  <c r="F37" i="11"/>
  <c r="D38" i="11"/>
  <c r="F36" i="11" s="1"/>
  <c r="F79" i="13"/>
  <c r="M80" i="13"/>
  <c r="P11" i="15"/>
  <c r="D27" i="6"/>
  <c r="D30" i="6"/>
  <c r="G24" i="6"/>
  <c r="G15" i="7"/>
  <c r="G29" i="7"/>
  <c r="N28" i="8"/>
  <c r="N32" i="8" s="1"/>
  <c r="N26" i="8"/>
  <c r="N15" i="8"/>
  <c r="N24" i="8"/>
  <c r="N25" i="8"/>
  <c r="J26" i="10"/>
  <c r="J28" i="10"/>
  <c r="J32" i="10" s="1"/>
  <c r="K26" i="19"/>
  <c r="K20" i="19"/>
  <c r="F25" i="1"/>
  <c r="D24" i="6"/>
  <c r="H21" i="6"/>
  <c r="P14" i="6"/>
  <c r="O21" i="6"/>
  <c r="G21" i="6"/>
  <c r="N21" i="6"/>
  <c r="F21" i="6"/>
  <c r="F15" i="6"/>
  <c r="P15" i="6" s="1"/>
  <c r="J21" i="6"/>
  <c r="J25" i="6"/>
  <c r="G29" i="6"/>
  <c r="E31" i="6"/>
  <c r="F36" i="6"/>
  <c r="K28" i="7"/>
  <c r="K32" i="7" s="1"/>
  <c r="I30" i="7"/>
  <c r="H28" i="7"/>
  <c r="H32" i="7" s="1"/>
  <c r="J30" i="7"/>
  <c r="F37" i="7"/>
  <c r="H25" i="9"/>
  <c r="H29" i="9"/>
  <c r="H28" i="9"/>
  <c r="H32" i="9" s="1"/>
  <c r="H26" i="9"/>
  <c r="H24" i="9"/>
  <c r="H15" i="9"/>
  <c r="P13" i="9"/>
  <c r="O20" i="9"/>
  <c r="N24" i="9"/>
  <c r="F28" i="9"/>
  <c r="F32" i="9" s="1"/>
  <c r="O28" i="10"/>
  <c r="O32" i="10" s="1"/>
  <c r="O26" i="10"/>
  <c r="O15" i="10"/>
  <c r="D15" i="10"/>
  <c r="O24" i="10"/>
  <c r="H25" i="11"/>
  <c r="H29" i="11"/>
  <c r="H26" i="11"/>
  <c r="H15" i="11"/>
  <c r="P13" i="11"/>
  <c r="F27" i="11"/>
  <c r="F31" i="11"/>
  <c r="F30" i="11"/>
  <c r="H21" i="11"/>
  <c r="K39" i="11"/>
  <c r="F27" i="12"/>
  <c r="F30" i="12"/>
  <c r="F31" i="12"/>
  <c r="M31" i="13"/>
  <c r="L15" i="6"/>
  <c r="J24" i="8"/>
  <c r="J28" i="8"/>
  <c r="J32" i="8" s="1"/>
  <c r="J15" i="8"/>
  <c r="J29" i="8"/>
  <c r="D38" i="8"/>
  <c r="F36" i="8" s="1"/>
  <c r="I28" i="10"/>
  <c r="I32" i="10" s="1"/>
  <c r="I26" i="10"/>
  <c r="I15" i="10"/>
  <c r="I24" i="10"/>
  <c r="I25" i="10"/>
  <c r="N21" i="10"/>
  <c r="O25" i="6"/>
  <c r="O28" i="6"/>
  <c r="O32" i="6" s="1"/>
  <c r="F25" i="7"/>
  <c r="E28" i="7"/>
  <c r="E32" i="7" s="1"/>
  <c r="L28" i="8"/>
  <c r="L32" i="8" s="1"/>
  <c r="L26" i="8"/>
  <c r="L15" i="8"/>
  <c r="L29" i="8"/>
  <c r="L25" i="8"/>
  <c r="L29" i="10"/>
  <c r="L25" i="10"/>
  <c r="L26" i="10"/>
  <c r="L24" i="10"/>
  <c r="L15" i="10"/>
  <c r="D24" i="10"/>
  <c r="J24" i="1"/>
  <c r="P13" i="6"/>
  <c r="P13" i="7"/>
  <c r="G26" i="7"/>
  <c r="F36" i="7"/>
  <c r="M25" i="8"/>
  <c r="M29" i="8"/>
  <c r="M15" i="8"/>
  <c r="M28" i="8"/>
  <c r="M32" i="8" s="1"/>
  <c r="M26" i="8"/>
  <c r="M24" i="8"/>
  <c r="M24" i="9"/>
  <c r="M28" i="9"/>
  <c r="M32" i="9" s="1"/>
  <c r="L28" i="11"/>
  <c r="L32" i="11" s="1"/>
  <c r="E16" i="16"/>
  <c r="N25" i="1"/>
  <c r="D24" i="1"/>
  <c r="N32" i="1"/>
  <c r="E24" i="1"/>
  <c r="M24" i="1"/>
  <c r="H25" i="1"/>
  <c r="K21" i="6"/>
  <c r="M24" i="6"/>
  <c r="K27" i="7"/>
  <c r="K30" i="7"/>
  <c r="I31" i="7"/>
  <c r="R123" i="7"/>
  <c r="D14" i="8"/>
  <c r="E15" i="8"/>
  <c r="P10" i="9"/>
  <c r="E24" i="9"/>
  <c r="E28" i="9"/>
  <c r="E32" i="9" s="1"/>
  <c r="K21" i="9"/>
  <c r="F15" i="9"/>
  <c r="M26" i="9"/>
  <c r="L28" i="9"/>
  <c r="L32" i="9" s="1"/>
  <c r="H25" i="10"/>
  <c r="H29" i="10"/>
  <c r="H28" i="10"/>
  <c r="H32" i="10" s="1"/>
  <c r="H26" i="10"/>
  <c r="H24" i="10"/>
  <c r="P13" i="10"/>
  <c r="F27" i="10"/>
  <c r="F31" i="10"/>
  <c r="F30" i="10"/>
  <c r="J15" i="11"/>
  <c r="G29" i="12"/>
  <c r="G25" i="12"/>
  <c r="G24" i="12"/>
  <c r="G15" i="12"/>
  <c r="G26" i="12"/>
  <c r="L21" i="15"/>
  <c r="D21" i="15"/>
  <c r="J21" i="15"/>
  <c r="M21" i="15"/>
  <c r="E21" i="15"/>
  <c r="G21" i="15"/>
  <c r="D16" i="15"/>
  <c r="D20" i="15"/>
  <c r="O21" i="15"/>
  <c r="N21" i="15"/>
  <c r="I21" i="15"/>
  <c r="H21" i="15"/>
  <c r="F21" i="15"/>
  <c r="L16" i="15"/>
  <c r="L20" i="15"/>
  <c r="I29" i="15"/>
  <c r="I33" i="15"/>
  <c r="I32" i="15"/>
  <c r="F25" i="6"/>
  <c r="F28" i="6"/>
  <c r="F32" i="6" s="1"/>
  <c r="O28" i="7"/>
  <c r="O32" i="7" s="1"/>
  <c r="K27" i="8"/>
  <c r="K31" i="8"/>
  <c r="K30" i="8"/>
  <c r="D29" i="11"/>
  <c r="I21" i="11"/>
  <c r="P14" i="11"/>
  <c r="O21" i="11"/>
  <c r="G21" i="11"/>
  <c r="D25" i="11"/>
  <c r="M21" i="11"/>
  <c r="E21" i="11"/>
  <c r="K21" i="11"/>
  <c r="F21" i="11"/>
  <c r="D24" i="11"/>
  <c r="N21" i="11"/>
  <c r="D26" i="11"/>
  <c r="J21" i="11"/>
  <c r="F30" i="14"/>
  <c r="F34" i="14" s="1"/>
  <c r="F28" i="14"/>
  <c r="F27" i="14"/>
  <c r="F31" i="14"/>
  <c r="F17" i="14"/>
  <c r="M32" i="1"/>
  <c r="G25" i="6"/>
  <c r="G28" i="6"/>
  <c r="G32" i="6" s="1"/>
  <c r="F24" i="6"/>
  <c r="J26" i="6"/>
  <c r="J29" i="6"/>
  <c r="J15" i="6"/>
  <c r="J24" i="6"/>
  <c r="L21" i="6"/>
  <c r="N24" i="6"/>
  <c r="L25" i="6"/>
  <c r="L26" i="6"/>
  <c r="M26" i="7"/>
  <c r="M29" i="7"/>
  <c r="M15" i="7"/>
  <c r="M24" i="7"/>
  <c r="M25" i="7"/>
  <c r="M28" i="7"/>
  <c r="M32" i="7" s="1"/>
  <c r="F28" i="8"/>
  <c r="F32" i="8" s="1"/>
  <c r="F26" i="8"/>
  <c r="F24" i="8"/>
  <c r="F15" i="8"/>
  <c r="L24" i="8"/>
  <c r="J26" i="8"/>
  <c r="G28" i="9"/>
  <c r="G32" i="9" s="1"/>
  <c r="G26" i="9"/>
  <c r="G15" i="9"/>
  <c r="G29" i="9"/>
  <c r="R10" i="10"/>
  <c r="P10" i="10"/>
  <c r="H31" i="10"/>
  <c r="H30" i="10"/>
  <c r="H27" i="10"/>
  <c r="J21" i="10"/>
  <c r="J25" i="10"/>
  <c r="I29" i="10"/>
  <c r="G28" i="11"/>
  <c r="G32" i="11" s="1"/>
  <c r="G26" i="11"/>
  <c r="G15" i="11"/>
  <c r="G24" i="11"/>
  <c r="G25" i="11"/>
  <c r="J30" i="12"/>
  <c r="J31" i="12"/>
  <c r="J27" i="12"/>
  <c r="J29" i="14"/>
  <c r="J32" i="14"/>
  <c r="J33" i="14"/>
  <c r="P20" i="20"/>
  <c r="F32" i="1"/>
  <c r="D38" i="1"/>
  <c r="F36" i="1" s="1"/>
  <c r="K29" i="6"/>
  <c r="K15" i="6"/>
  <c r="K24" i="6"/>
  <c r="M21" i="6"/>
  <c r="O24" i="6"/>
  <c r="M26" i="6"/>
  <c r="L28" i="6"/>
  <c r="L32" i="6" s="1"/>
  <c r="L29" i="6"/>
  <c r="D14" i="7"/>
  <c r="N29" i="7"/>
  <c r="N15" i="7"/>
  <c r="N24" i="7"/>
  <c r="O15" i="7"/>
  <c r="N25" i="7"/>
  <c r="O26" i="7"/>
  <c r="N28" i="7"/>
  <c r="N32" i="7" s="1"/>
  <c r="O29" i="7"/>
  <c r="G29" i="8"/>
  <c r="G25" i="8"/>
  <c r="G24" i="8"/>
  <c r="G15" i="8"/>
  <c r="F25" i="8"/>
  <c r="M15" i="9"/>
  <c r="L21" i="9"/>
  <c r="G25" i="9"/>
  <c r="E27" i="9"/>
  <c r="E29" i="9"/>
  <c r="D31" i="9"/>
  <c r="G28" i="10"/>
  <c r="G32" i="10" s="1"/>
  <c r="G26" i="10"/>
  <c r="G15" i="10"/>
  <c r="G29" i="10"/>
  <c r="G25" i="10"/>
  <c r="G24" i="10"/>
  <c r="J15" i="10"/>
  <c r="L21" i="10"/>
  <c r="L24" i="11"/>
  <c r="D28" i="12"/>
  <c r="D32" i="12" s="1"/>
  <c r="L21" i="12"/>
  <c r="D21" i="12"/>
  <c r="D26" i="12"/>
  <c r="J21" i="12"/>
  <c r="D29" i="12"/>
  <c r="I21" i="12"/>
  <c r="D24" i="12"/>
  <c r="H21" i="12"/>
  <c r="N21" i="12"/>
  <c r="D25" i="12"/>
  <c r="M21" i="12"/>
  <c r="K21" i="12"/>
  <c r="F21" i="12"/>
  <c r="P14" i="12"/>
  <c r="D15" i="12"/>
  <c r="O21" i="12"/>
  <c r="G21" i="12"/>
  <c r="L28" i="12"/>
  <c r="L32" i="12" s="1"/>
  <c r="L26" i="12"/>
  <c r="L29" i="12"/>
  <c r="L24" i="12"/>
  <c r="L15" i="12"/>
  <c r="L25" i="12"/>
  <c r="I25" i="12"/>
  <c r="I28" i="12"/>
  <c r="I32" i="12" s="1"/>
  <c r="I15" i="12"/>
  <c r="I29" i="12"/>
  <c r="I24" i="12"/>
  <c r="I26" i="12"/>
  <c r="L31" i="13"/>
  <c r="L17" i="13"/>
  <c r="L26" i="13"/>
  <c r="L28" i="13"/>
  <c r="L30" i="13"/>
  <c r="L34" i="13" s="1"/>
  <c r="L27" i="13"/>
  <c r="L33" i="14"/>
  <c r="K21" i="15"/>
  <c r="I28" i="11"/>
  <c r="I32" i="11" s="1"/>
  <c r="I26" i="11"/>
  <c r="I15" i="11"/>
  <c r="I24" i="11"/>
  <c r="H30" i="12"/>
  <c r="H27" i="12"/>
  <c r="O22" i="13"/>
  <c r="G22" i="13"/>
  <c r="M22" i="13"/>
  <c r="E22" i="13"/>
  <c r="L22" i="13"/>
  <c r="D22" i="13"/>
  <c r="K22" i="13"/>
  <c r="H22" i="13"/>
  <c r="J22" i="13"/>
  <c r="K26" i="7"/>
  <c r="K26" i="8"/>
  <c r="K28" i="8"/>
  <c r="K32" i="8" s="1"/>
  <c r="I30" i="8"/>
  <c r="I31" i="8"/>
  <c r="M78" i="8"/>
  <c r="I28" i="9"/>
  <c r="I32" i="9" s="1"/>
  <c r="I26" i="9"/>
  <c r="I15" i="9"/>
  <c r="I24" i="9"/>
  <c r="G20" i="9"/>
  <c r="I25" i="9"/>
  <c r="K26" i="10"/>
  <c r="K15" i="10"/>
  <c r="K24" i="10"/>
  <c r="F24" i="10"/>
  <c r="E25" i="10"/>
  <c r="E26" i="10"/>
  <c r="M20" i="11"/>
  <c r="K26" i="11"/>
  <c r="K15" i="11"/>
  <c r="K24" i="11"/>
  <c r="K28" i="11"/>
  <c r="K32" i="11" s="1"/>
  <c r="E25" i="11"/>
  <c r="D38" i="12"/>
  <c r="F37" i="12" s="1"/>
  <c r="K26" i="13"/>
  <c r="K20" i="13"/>
  <c r="P11" i="14"/>
  <c r="N32" i="14"/>
  <c r="N33" i="14"/>
  <c r="N29" i="14"/>
  <c r="J28" i="7"/>
  <c r="J32" i="7" s="1"/>
  <c r="O24" i="8"/>
  <c r="K29" i="8"/>
  <c r="D29" i="9"/>
  <c r="I21" i="9"/>
  <c r="P14" i="9"/>
  <c r="O21" i="9"/>
  <c r="G21" i="9"/>
  <c r="D25" i="9"/>
  <c r="M21" i="9"/>
  <c r="E21" i="9"/>
  <c r="L29" i="9"/>
  <c r="L25" i="9"/>
  <c r="J15" i="9"/>
  <c r="J21" i="9"/>
  <c r="J24" i="9"/>
  <c r="J25" i="9"/>
  <c r="J26" i="9"/>
  <c r="J28" i="9"/>
  <c r="J32" i="9" s="1"/>
  <c r="I29" i="9"/>
  <c r="M24" i="10"/>
  <c r="M28" i="10"/>
  <c r="M32" i="10" s="1"/>
  <c r="M15" i="10"/>
  <c r="F26" i="10"/>
  <c r="F28" i="10"/>
  <c r="F32" i="10" s="1"/>
  <c r="F29" i="10"/>
  <c r="O20" i="11"/>
  <c r="G20" i="11"/>
  <c r="F25" i="11"/>
  <c r="F29" i="11"/>
  <c r="N25" i="11"/>
  <c r="N29" i="11"/>
  <c r="M24" i="11"/>
  <c r="M28" i="11"/>
  <c r="M32" i="11" s="1"/>
  <c r="M26" i="11"/>
  <c r="M15" i="11"/>
  <c r="L20" i="11"/>
  <c r="F26" i="12"/>
  <c r="F24" i="12"/>
  <c r="F29" i="12"/>
  <c r="F28" i="12"/>
  <c r="F32" i="12" s="1"/>
  <c r="N26" i="12"/>
  <c r="N24" i="12"/>
  <c r="N28" i="12"/>
  <c r="N32" i="12" s="1"/>
  <c r="N29" i="12"/>
  <c r="K25" i="12"/>
  <c r="K26" i="12"/>
  <c r="K29" i="12"/>
  <c r="K28" i="12"/>
  <c r="K32" i="12" s="1"/>
  <c r="K15" i="12"/>
  <c r="N15" i="12"/>
  <c r="J26" i="13"/>
  <c r="J20" i="13"/>
  <c r="F22" i="13"/>
  <c r="M22" i="14"/>
  <c r="O27" i="14"/>
  <c r="O28" i="14"/>
  <c r="O31" i="14"/>
  <c r="O17" i="14"/>
  <c r="O26" i="14"/>
  <c r="H26" i="8"/>
  <c r="H15" i="8"/>
  <c r="H24" i="8"/>
  <c r="O25" i="8"/>
  <c r="O26" i="8"/>
  <c r="O28" i="8"/>
  <c r="O32" i="8" s="1"/>
  <c r="K26" i="9"/>
  <c r="K15" i="9"/>
  <c r="K24" i="9"/>
  <c r="K25" i="9"/>
  <c r="K28" i="9"/>
  <c r="K32" i="9" s="1"/>
  <c r="K29" i="9"/>
  <c r="F37" i="9"/>
  <c r="N27" i="10"/>
  <c r="N31" i="10"/>
  <c r="N15" i="11"/>
  <c r="N20" i="11"/>
  <c r="F24" i="11"/>
  <c r="I25" i="11"/>
  <c r="M29" i="12"/>
  <c r="M24" i="12"/>
  <c r="M26" i="12"/>
  <c r="M28" i="12"/>
  <c r="M32" i="12" s="1"/>
  <c r="M15" i="12"/>
  <c r="M25" i="12"/>
  <c r="I22" i="13"/>
  <c r="J26" i="14"/>
  <c r="J20" i="14"/>
  <c r="G22" i="14"/>
  <c r="E22" i="14"/>
  <c r="L26" i="14"/>
  <c r="L27" i="14"/>
  <c r="L30" i="14"/>
  <c r="L34" i="14" s="1"/>
  <c r="L28" i="14"/>
  <c r="E29" i="14"/>
  <c r="E33" i="14"/>
  <c r="E32" i="14"/>
  <c r="O21" i="14"/>
  <c r="O30" i="14"/>
  <c r="O34" i="14" s="1"/>
  <c r="P63" i="8"/>
  <c r="O101" i="8"/>
  <c r="M20" i="9"/>
  <c r="E20" i="9"/>
  <c r="K20" i="9"/>
  <c r="I20" i="9"/>
  <c r="R10" i="9"/>
  <c r="N20" i="9"/>
  <c r="N21" i="9"/>
  <c r="E24" i="10"/>
  <c r="E28" i="10"/>
  <c r="E32" i="10" s="1"/>
  <c r="E15" i="10"/>
  <c r="K25" i="10"/>
  <c r="K28" i="10"/>
  <c r="K32" i="10" s="1"/>
  <c r="K29" i="10"/>
  <c r="F37" i="10"/>
  <c r="E24" i="11"/>
  <c r="E28" i="11"/>
  <c r="E32" i="11" s="1"/>
  <c r="E26" i="11"/>
  <c r="E15" i="11"/>
  <c r="M25" i="11"/>
  <c r="F28" i="11"/>
  <c r="F32" i="11" s="1"/>
  <c r="I29" i="11"/>
  <c r="E29" i="12"/>
  <c r="E24" i="12"/>
  <c r="E25" i="12"/>
  <c r="E26" i="12"/>
  <c r="E15" i="12"/>
  <c r="K24" i="12"/>
  <c r="E28" i="12"/>
  <c r="E32" i="12" s="1"/>
  <c r="H31" i="12"/>
  <c r="K39" i="12"/>
  <c r="P12" i="13"/>
  <c r="H21" i="14"/>
  <c r="N22" i="14"/>
  <c r="K41" i="14"/>
  <c r="K40" i="14"/>
  <c r="H20" i="12"/>
  <c r="N20" i="12"/>
  <c r="F20" i="12"/>
  <c r="M20" i="12"/>
  <c r="L20" i="12"/>
  <c r="H24" i="12"/>
  <c r="H25" i="12"/>
  <c r="H28" i="12"/>
  <c r="H32" i="12" s="1"/>
  <c r="K4" i="13"/>
  <c r="E21" i="18"/>
  <c r="D21" i="18"/>
  <c r="D20" i="18"/>
  <c r="L16" i="18"/>
  <c r="L20" i="18"/>
  <c r="I20" i="11"/>
  <c r="J28" i="12"/>
  <c r="J32" i="12" s="1"/>
  <c r="J26" i="12"/>
  <c r="G20" i="12"/>
  <c r="I32" i="13"/>
  <c r="I33" i="13"/>
  <c r="I20" i="13"/>
  <c r="L21" i="13"/>
  <c r="M31" i="15"/>
  <c r="M30" i="15"/>
  <c r="M34" i="15" s="1"/>
  <c r="M28" i="15"/>
  <c r="M27" i="15"/>
  <c r="M17" i="15"/>
  <c r="I20" i="12"/>
  <c r="K21" i="13"/>
  <c r="I26" i="13"/>
  <c r="K40" i="13"/>
  <c r="L21" i="14"/>
  <c r="N30" i="14"/>
  <c r="N34" i="14" s="1"/>
  <c r="N28" i="14"/>
  <c r="F20" i="14"/>
  <c r="G21" i="14"/>
  <c r="K22" i="14"/>
  <c r="F38" i="15"/>
  <c r="K20" i="11"/>
  <c r="J20" i="12"/>
  <c r="H26" i="12"/>
  <c r="G26" i="13"/>
  <c r="G27" i="13"/>
  <c r="G30" i="13"/>
  <c r="G34" i="13" s="1"/>
  <c r="N21" i="13"/>
  <c r="I29" i="13"/>
  <c r="E27" i="14"/>
  <c r="E30" i="14"/>
  <c r="E34" i="14" s="1"/>
  <c r="I21" i="14"/>
  <c r="E26" i="14"/>
  <c r="I30" i="14"/>
  <c r="I34" i="14" s="1"/>
  <c r="H32" i="14"/>
  <c r="E20" i="11"/>
  <c r="O20" i="12"/>
  <c r="J25" i="12"/>
  <c r="O26" i="13"/>
  <c r="O27" i="13"/>
  <c r="O30" i="13"/>
  <c r="O34" i="13" s="1"/>
  <c r="O17" i="13"/>
  <c r="O31" i="13"/>
  <c r="K4" i="14"/>
  <c r="I26" i="14"/>
  <c r="I20" i="14"/>
  <c r="L22" i="14"/>
  <c r="D22" i="14"/>
  <c r="J22" i="14"/>
  <c r="I22" i="14"/>
  <c r="H22" i="14"/>
  <c r="G27" i="14"/>
  <c r="G28" i="14"/>
  <c r="G31" i="14"/>
  <c r="G17" i="14"/>
  <c r="K21" i="14"/>
  <c r="O22" i="14"/>
  <c r="G26" i="14"/>
  <c r="K30" i="14"/>
  <c r="K34" i="14" s="1"/>
  <c r="E31" i="15"/>
  <c r="E30" i="15"/>
  <c r="E34" i="15" s="1"/>
  <c r="E17" i="15"/>
  <c r="E28" i="15"/>
  <c r="E26" i="15"/>
  <c r="E27" i="15"/>
  <c r="N16" i="13"/>
  <c r="D20" i="13"/>
  <c r="G21" i="13"/>
  <c r="O21" i="13"/>
  <c r="J32" i="15"/>
  <c r="J30" i="15"/>
  <c r="J34" i="15" s="1"/>
  <c r="K32" i="15"/>
  <c r="M20" i="15"/>
  <c r="I30" i="15"/>
  <c r="I34" i="15" s="1"/>
  <c r="P20" i="19"/>
  <c r="H21" i="13"/>
  <c r="H30" i="13"/>
  <c r="H34" i="13" s="1"/>
  <c r="M16" i="14"/>
  <c r="E21" i="14"/>
  <c r="M21" i="14"/>
  <c r="K32" i="14"/>
  <c r="F28" i="15"/>
  <c r="F26" i="15"/>
  <c r="O22" i="15"/>
  <c r="K30" i="15"/>
  <c r="K34" i="15" s="1"/>
  <c r="D39" i="16"/>
  <c r="K15" i="16"/>
  <c r="J15" i="16"/>
  <c r="I15" i="16"/>
  <c r="H15" i="16"/>
  <c r="H16" i="16" s="1"/>
  <c r="O15" i="16"/>
  <c r="O16" i="16" s="1"/>
  <c r="G15" i="16"/>
  <c r="N15" i="16"/>
  <c r="N16" i="16" s="1"/>
  <c r="F15" i="16"/>
  <c r="F16" i="16" s="1"/>
  <c r="M15" i="16"/>
  <c r="M16" i="16" s="1"/>
  <c r="E15" i="16"/>
  <c r="L15" i="16"/>
  <c r="L16" i="16" s="1"/>
  <c r="D15" i="16"/>
  <c r="I20" i="19"/>
  <c r="D16" i="13"/>
  <c r="F20" i="13"/>
  <c r="I21" i="13"/>
  <c r="I30" i="13"/>
  <c r="I34" i="13" s="1"/>
  <c r="F21" i="14"/>
  <c r="N21" i="14"/>
  <c r="O20" i="15"/>
  <c r="O16" i="15"/>
  <c r="N28" i="15"/>
  <c r="N17" i="15"/>
  <c r="N26" i="15"/>
  <c r="F27" i="15"/>
  <c r="N30" i="15"/>
  <c r="N34" i="15" s="1"/>
  <c r="P11" i="13"/>
  <c r="D16" i="14"/>
  <c r="I20" i="15"/>
  <c r="I26" i="15"/>
  <c r="H22" i="15"/>
  <c r="N22" i="15"/>
  <c r="F22" i="15"/>
  <c r="I22" i="15"/>
  <c r="F17" i="15"/>
  <c r="F20" i="15"/>
  <c r="G22" i="15"/>
  <c r="K41" i="15"/>
  <c r="G16" i="16"/>
  <c r="D21" i="16"/>
  <c r="L21" i="16"/>
  <c r="H22" i="16"/>
  <c r="J32" i="16"/>
  <c r="H15" i="18"/>
  <c r="H16" i="18" s="1"/>
  <c r="N15" i="18"/>
  <c r="F15" i="18"/>
  <c r="M15" i="18"/>
  <c r="M16" i="18" s="1"/>
  <c r="E15" i="18"/>
  <c r="E16" i="18" s="1"/>
  <c r="I15" i="18"/>
  <c r="G16" i="19"/>
  <c r="G20" i="19"/>
  <c r="J21" i="21"/>
  <c r="G16" i="21"/>
  <c r="E16" i="22"/>
  <c r="E25" i="22"/>
  <c r="E28" i="22"/>
  <c r="E32" i="22" s="1"/>
  <c r="E21" i="16"/>
  <c r="M21" i="16"/>
  <c r="K32" i="16"/>
  <c r="I26" i="17"/>
  <c r="K4" i="17"/>
  <c r="K3" i="17" s="1"/>
  <c r="I20" i="17"/>
  <c r="I33" i="17"/>
  <c r="J15" i="18"/>
  <c r="D40" i="19"/>
  <c r="F38" i="19" s="1"/>
  <c r="P9" i="20"/>
  <c r="E11" i="20"/>
  <c r="K21" i="20" s="1"/>
  <c r="M20" i="20"/>
  <c r="M16" i="20"/>
  <c r="I21" i="20"/>
  <c r="H21" i="20"/>
  <c r="M21" i="20"/>
  <c r="E21" i="20"/>
  <c r="D16" i="20"/>
  <c r="D21" i="20"/>
  <c r="O21" i="20"/>
  <c r="I30" i="21"/>
  <c r="I34" i="21" s="1"/>
  <c r="I26" i="21"/>
  <c r="I17" i="21"/>
  <c r="I28" i="21"/>
  <c r="K41" i="21"/>
  <c r="K40" i="21"/>
  <c r="K24" i="22"/>
  <c r="K19" i="22"/>
  <c r="I28" i="22"/>
  <c r="I32" i="22" s="1"/>
  <c r="I26" i="22"/>
  <c r="I24" i="22"/>
  <c r="I16" i="22"/>
  <c r="F21" i="16"/>
  <c r="N21" i="16"/>
  <c r="K20" i="17"/>
  <c r="K32" i="18"/>
  <c r="J32" i="18"/>
  <c r="J30" i="18"/>
  <c r="J34" i="18" s="1"/>
  <c r="I30" i="18"/>
  <c r="I34" i="18" s="1"/>
  <c r="K26" i="18"/>
  <c r="K20" i="18"/>
  <c r="E11" i="19"/>
  <c r="P9" i="19"/>
  <c r="M16" i="19"/>
  <c r="G22" i="19"/>
  <c r="J22" i="19"/>
  <c r="F20" i="20"/>
  <c r="F16" i="20"/>
  <c r="M11" i="21"/>
  <c r="K16" i="21"/>
  <c r="K20" i="21"/>
  <c r="O22" i="21"/>
  <c r="F39" i="21"/>
  <c r="D40" i="21"/>
  <c r="F38" i="21" s="1"/>
  <c r="P11" i="16"/>
  <c r="G21" i="16"/>
  <c r="O21" i="16"/>
  <c r="R13" i="17"/>
  <c r="L21" i="17"/>
  <c r="J20" i="19"/>
  <c r="J26" i="19"/>
  <c r="M22" i="19"/>
  <c r="N22" i="20"/>
  <c r="F22" i="20"/>
  <c r="M22" i="20"/>
  <c r="E22" i="20"/>
  <c r="L22" i="20"/>
  <c r="D22" i="20"/>
  <c r="I22" i="20"/>
  <c r="G22" i="20"/>
  <c r="P12" i="20"/>
  <c r="Q12" i="21" s="1"/>
  <c r="O22" i="20"/>
  <c r="K22" i="20"/>
  <c r="J22" i="20"/>
  <c r="J30" i="21"/>
  <c r="J34" i="21" s="1"/>
  <c r="J32" i="21"/>
  <c r="D30" i="21"/>
  <c r="D34" i="21" s="1"/>
  <c r="N20" i="21"/>
  <c r="N16" i="21"/>
  <c r="L20" i="21"/>
  <c r="L16" i="21"/>
  <c r="F30" i="21"/>
  <c r="F34" i="21" s="1"/>
  <c r="G30" i="22"/>
  <c r="G27" i="22"/>
  <c r="G31" i="22"/>
  <c r="E26" i="22"/>
  <c r="N39" i="21"/>
  <c r="N39" i="20"/>
  <c r="N39" i="19"/>
  <c r="N39" i="17"/>
  <c r="P12" i="16"/>
  <c r="S12" i="16" s="1"/>
  <c r="E20" i="16"/>
  <c r="H21" i="16"/>
  <c r="D22" i="16"/>
  <c r="L22" i="16"/>
  <c r="I33" i="16"/>
  <c r="M21" i="17"/>
  <c r="E21" i="17"/>
  <c r="P11" i="17"/>
  <c r="K21" i="17"/>
  <c r="J21" i="17"/>
  <c r="N21" i="17"/>
  <c r="O5" i="18"/>
  <c r="F11" i="18"/>
  <c r="G21" i="18" s="1"/>
  <c r="N11" i="18"/>
  <c r="O15" i="18"/>
  <c r="O16" i="18" s="1"/>
  <c r="F22" i="18"/>
  <c r="N22" i="19"/>
  <c r="E23" i="21"/>
  <c r="E28" i="21"/>
  <c r="N19" i="22"/>
  <c r="N4" i="22"/>
  <c r="N15" i="22"/>
  <c r="D16" i="16"/>
  <c r="F20" i="16"/>
  <c r="I21" i="16"/>
  <c r="E22" i="16"/>
  <c r="M22" i="16"/>
  <c r="I30" i="16"/>
  <c r="I34" i="16" s="1"/>
  <c r="K32" i="17"/>
  <c r="K30" i="17"/>
  <c r="K34" i="17" s="1"/>
  <c r="J30" i="17"/>
  <c r="J34" i="17" s="1"/>
  <c r="J26" i="17"/>
  <c r="R10" i="18"/>
  <c r="I32" i="18"/>
  <c r="D20" i="20"/>
  <c r="E24" i="22"/>
  <c r="J21" i="16"/>
  <c r="F22" i="16"/>
  <c r="J30" i="16"/>
  <c r="J34" i="16" s="1"/>
  <c r="P9" i="18"/>
  <c r="K22" i="18"/>
  <c r="I22" i="18"/>
  <c r="H22" i="18"/>
  <c r="E22" i="18"/>
  <c r="N22" i="18"/>
  <c r="M22" i="18"/>
  <c r="P12" i="18"/>
  <c r="D15" i="18"/>
  <c r="P15" i="18" s="1"/>
  <c r="J22" i="18"/>
  <c r="I27" i="20"/>
  <c r="I30" i="20"/>
  <c r="I34" i="20" s="1"/>
  <c r="I26" i="20"/>
  <c r="I31" i="20"/>
  <c r="I17" i="20"/>
  <c r="I28" i="20"/>
  <c r="K41" i="20"/>
  <c r="H16" i="21"/>
  <c r="I23" i="21" s="1"/>
  <c r="H20" i="21"/>
  <c r="E31" i="21"/>
  <c r="E27" i="21"/>
  <c r="E17" i="21"/>
  <c r="E30" i="21"/>
  <c r="E34" i="21" s="1"/>
  <c r="G28" i="22"/>
  <c r="G32" i="22" s="1"/>
  <c r="G29" i="22"/>
  <c r="G26" i="22"/>
  <c r="O25" i="22"/>
  <c r="O28" i="22"/>
  <c r="O32" i="22" s="1"/>
  <c r="O29" i="22"/>
  <c r="O26" i="22"/>
  <c r="O24" i="22"/>
  <c r="G24" i="22"/>
  <c r="E29" i="22"/>
  <c r="S10" i="16"/>
  <c r="G22" i="16"/>
  <c r="F20" i="17"/>
  <c r="F21" i="17"/>
  <c r="I29" i="17"/>
  <c r="P2" i="18"/>
  <c r="I11" i="18"/>
  <c r="R9" i="18"/>
  <c r="G15" i="18"/>
  <c r="G16" i="18" s="1"/>
  <c r="H20" i="18"/>
  <c r="L22" i="18"/>
  <c r="J26" i="18"/>
  <c r="D39" i="18"/>
  <c r="L16" i="19"/>
  <c r="N16" i="20"/>
  <c r="F21" i="20"/>
  <c r="E26" i="21"/>
  <c r="I31" i="21"/>
  <c r="O16" i="22"/>
  <c r="G25" i="22"/>
  <c r="I29" i="22"/>
  <c r="G21" i="19"/>
  <c r="D20" i="19"/>
  <c r="E21" i="19"/>
  <c r="L21" i="19"/>
  <c r="D21" i="19"/>
  <c r="K22" i="19"/>
  <c r="I22" i="19"/>
  <c r="P12" i="19"/>
  <c r="H22" i="19"/>
  <c r="F21" i="19"/>
  <c r="F22" i="19"/>
  <c r="K41" i="19"/>
  <c r="K40" i="19"/>
  <c r="D78" i="19"/>
  <c r="G11" i="20"/>
  <c r="G16" i="20" s="1"/>
  <c r="O11" i="20"/>
  <c r="J20" i="20"/>
  <c r="J26" i="20"/>
  <c r="L20" i="20"/>
  <c r="H11" i="22"/>
  <c r="L34" i="22"/>
  <c r="L29" i="22"/>
  <c r="L16" i="22"/>
  <c r="L28" i="22"/>
  <c r="L32" i="22" s="1"/>
  <c r="L24" i="22"/>
  <c r="H15" i="19"/>
  <c r="N15" i="19"/>
  <c r="N16" i="19" s="1"/>
  <c r="F15" i="19"/>
  <c r="F16" i="19" s="1"/>
  <c r="M15" i="19"/>
  <c r="E15" i="19"/>
  <c r="H11" i="19"/>
  <c r="P11" i="19" s="1"/>
  <c r="D15" i="19"/>
  <c r="D16" i="19" s="1"/>
  <c r="H11" i="20"/>
  <c r="L28" i="20"/>
  <c r="L17" i="20"/>
  <c r="L31" i="20"/>
  <c r="L26" i="20"/>
  <c r="L27" i="20"/>
  <c r="M22" i="21"/>
  <c r="L22" i="21"/>
  <c r="K22" i="21"/>
  <c r="P12" i="21"/>
  <c r="N22" i="21"/>
  <c r="M15" i="22"/>
  <c r="P14" i="22"/>
  <c r="I15" i="19"/>
  <c r="I16" i="19" s="1"/>
  <c r="L22" i="19"/>
  <c r="L30" i="20"/>
  <c r="L34" i="20" s="1"/>
  <c r="O27" i="21"/>
  <c r="O28" i="21"/>
  <c r="O30" i="21"/>
  <c r="O34" i="21" s="1"/>
  <c r="O17" i="21"/>
  <c r="O31" i="21"/>
  <c r="O26" i="21"/>
  <c r="P9" i="22"/>
  <c r="T11" i="22"/>
  <c r="E20" i="22"/>
  <c r="E19" i="22"/>
  <c r="J31" i="22"/>
  <c r="J30" i="22"/>
  <c r="L26" i="22"/>
  <c r="J32" i="19"/>
  <c r="D28" i="21"/>
  <c r="H23" i="21"/>
  <c r="D31" i="21"/>
  <c r="G23" i="21"/>
  <c r="D27" i="21"/>
  <c r="F23" i="21"/>
  <c r="D17" i="21"/>
  <c r="K23" i="21"/>
  <c r="F19" i="22"/>
  <c r="F15" i="22"/>
  <c r="P10" i="21"/>
  <c r="P20" i="21" s="1"/>
  <c r="I21" i="21"/>
  <c r="T11" i="21"/>
  <c r="H21" i="21"/>
  <c r="R11" i="21"/>
  <c r="G21" i="21"/>
  <c r="D20" i="21"/>
  <c r="P11" i="21"/>
  <c r="L21" i="21"/>
  <c r="D21" i="21"/>
  <c r="R9" i="21"/>
  <c r="O4" i="22"/>
  <c r="F27" i="21"/>
  <c r="F17" i="21"/>
  <c r="F26" i="21"/>
  <c r="J33" i="21"/>
  <c r="J29" i="21"/>
  <c r="K21" i="21"/>
  <c r="L23" i="21"/>
  <c r="J32" i="20"/>
  <c r="J11" i="21"/>
  <c r="P9" i="21"/>
  <c r="N21" i="21"/>
  <c r="D26" i="21"/>
  <c r="D29" i="22"/>
  <c r="G21" i="22"/>
  <c r="D16" i="22"/>
  <c r="D25" i="22"/>
  <c r="E21" i="22"/>
  <c r="D28" i="22"/>
  <c r="D32" i="22" s="1"/>
  <c r="J29" i="20"/>
  <c r="K32" i="20"/>
  <c r="I20" i="21"/>
  <c r="F20" i="22"/>
  <c r="J20" i="22"/>
  <c r="L32" i="1" l="1"/>
  <c r="L24" i="1"/>
  <c r="E27" i="1"/>
  <c r="E30" i="1"/>
  <c r="D21" i="1"/>
  <c r="P14" i="1"/>
  <c r="H31" i="1"/>
  <c r="G21" i="1"/>
  <c r="M21" i="1"/>
  <c r="I21" i="1"/>
  <c r="N21" i="1"/>
  <c r="D25" i="1"/>
  <c r="K21" i="1"/>
  <c r="O21" i="1"/>
  <c r="H21" i="1"/>
  <c r="J21" i="1"/>
  <c r="L21" i="1"/>
  <c r="H30" i="1"/>
  <c r="R11" i="19"/>
  <c r="R10" i="19"/>
  <c r="H31" i="18"/>
  <c r="H26" i="18"/>
  <c r="H17" i="18"/>
  <c r="H27" i="18"/>
  <c r="H28" i="18"/>
  <c r="H30" i="18"/>
  <c r="H34" i="18" s="1"/>
  <c r="N31" i="16"/>
  <c r="N17" i="16"/>
  <c r="N26" i="16"/>
  <c r="N27" i="16"/>
  <c r="N30" i="16"/>
  <c r="N34" i="16" s="1"/>
  <c r="N28" i="16"/>
  <c r="N27" i="19"/>
  <c r="N28" i="19"/>
  <c r="N31" i="19"/>
  <c r="N30" i="19"/>
  <c r="N34" i="19" s="1"/>
  <c r="N26" i="19"/>
  <c r="N17" i="19"/>
  <c r="P31" i="6"/>
  <c r="P30" i="6"/>
  <c r="P27" i="6"/>
  <c r="I28" i="19"/>
  <c r="I26" i="19"/>
  <c r="I31" i="19"/>
  <c r="I30" i="19"/>
  <c r="I34" i="19" s="1"/>
  <c r="I27" i="19"/>
  <c r="I17" i="19"/>
  <c r="F27" i="19"/>
  <c r="F17" i="19"/>
  <c r="F28" i="19"/>
  <c r="F30" i="19"/>
  <c r="F34" i="19" s="1"/>
  <c r="F26" i="19"/>
  <c r="F31" i="19"/>
  <c r="D27" i="19"/>
  <c r="M23" i="19"/>
  <c r="D30" i="19"/>
  <c r="D34" i="19" s="1"/>
  <c r="D23" i="19"/>
  <c r="D31" i="19"/>
  <c r="H23" i="19"/>
  <c r="D17" i="19"/>
  <c r="D28" i="19"/>
  <c r="D26" i="19"/>
  <c r="F31" i="16"/>
  <c r="F26" i="16"/>
  <c r="F27" i="16"/>
  <c r="F30" i="16"/>
  <c r="F34" i="16" s="1"/>
  <c r="F17" i="16"/>
  <c r="F28" i="16"/>
  <c r="H19" i="22"/>
  <c r="H15" i="22"/>
  <c r="M20" i="22"/>
  <c r="L20" i="22"/>
  <c r="O20" i="22"/>
  <c r="K41" i="18"/>
  <c r="Q6" i="18"/>
  <c r="R5" i="18"/>
  <c r="L29" i="20"/>
  <c r="L32" i="20"/>
  <c r="L33" i="20"/>
  <c r="I33" i="20"/>
  <c r="I29" i="20"/>
  <c r="I32" i="20"/>
  <c r="K20" i="22"/>
  <c r="G33" i="14"/>
  <c r="G29" i="14"/>
  <c r="G32" i="14"/>
  <c r="H30" i="8"/>
  <c r="H31" i="8"/>
  <c r="H27" i="8"/>
  <c r="P25" i="11"/>
  <c r="P29" i="11"/>
  <c r="P26" i="11"/>
  <c r="P28" i="11"/>
  <c r="P32" i="11" s="1"/>
  <c r="P24" i="11"/>
  <c r="J30" i="8"/>
  <c r="J31" i="8"/>
  <c r="J27" i="8"/>
  <c r="O30" i="1"/>
  <c r="O27" i="1"/>
  <c r="O31" i="1"/>
  <c r="N20" i="22"/>
  <c r="R9" i="19"/>
  <c r="E33" i="15"/>
  <c r="E29" i="15"/>
  <c r="E32" i="15"/>
  <c r="G30" i="9"/>
  <c r="G31" i="9"/>
  <c r="G27" i="9"/>
  <c r="E31" i="8"/>
  <c r="E27" i="8"/>
  <c r="E30" i="8"/>
  <c r="N27" i="8"/>
  <c r="N30" i="8"/>
  <c r="N31" i="8"/>
  <c r="F27" i="7"/>
  <c r="F31" i="7"/>
  <c r="F30" i="7"/>
  <c r="M29" i="13"/>
  <c r="M32" i="13"/>
  <c r="M33" i="13"/>
  <c r="O31" i="6"/>
  <c r="O30" i="6"/>
  <c r="O27" i="6"/>
  <c r="H16" i="20"/>
  <c r="H20" i="20"/>
  <c r="M21" i="19"/>
  <c r="L28" i="21"/>
  <c r="L31" i="21"/>
  <c r="L17" i="21"/>
  <c r="L27" i="21"/>
  <c r="L30" i="21"/>
  <c r="L34" i="21" s="1"/>
  <c r="L26" i="21"/>
  <c r="K26" i="21"/>
  <c r="K28" i="21"/>
  <c r="K31" i="21"/>
  <c r="K30" i="21"/>
  <c r="K34" i="21" s="1"/>
  <c r="K17" i="21"/>
  <c r="H21" i="19"/>
  <c r="E16" i="19"/>
  <c r="F23" i="19" s="1"/>
  <c r="N21" i="19"/>
  <c r="E20" i="19"/>
  <c r="K21" i="19"/>
  <c r="I21" i="19"/>
  <c r="G21" i="20"/>
  <c r="P11" i="20"/>
  <c r="R10" i="20" s="1"/>
  <c r="G30" i="19"/>
  <c r="G34" i="19" s="1"/>
  <c r="G28" i="19"/>
  <c r="G31" i="19"/>
  <c r="G17" i="19"/>
  <c r="G26" i="19"/>
  <c r="G27" i="19"/>
  <c r="D26" i="14"/>
  <c r="H23" i="14"/>
  <c r="P16" i="14"/>
  <c r="N23" i="14"/>
  <c r="F23" i="14"/>
  <c r="D27" i="14"/>
  <c r="M23" i="14"/>
  <c r="E23" i="14"/>
  <c r="D30" i="14"/>
  <c r="D34" i="14" s="1"/>
  <c r="L23" i="14"/>
  <c r="D23" i="14"/>
  <c r="O23" i="14"/>
  <c r="D28" i="14"/>
  <c r="K23" i="14"/>
  <c r="D31" i="14"/>
  <c r="I23" i="14"/>
  <c r="D17" i="14"/>
  <c r="J23" i="14"/>
  <c r="G23" i="14"/>
  <c r="O26" i="16"/>
  <c r="O27" i="16"/>
  <c r="O30" i="16"/>
  <c r="O34" i="16" s="1"/>
  <c r="O28" i="16"/>
  <c r="O31" i="16"/>
  <c r="O17" i="16"/>
  <c r="P11" i="18"/>
  <c r="O21" i="18"/>
  <c r="M31" i="12"/>
  <c r="M27" i="12"/>
  <c r="M30" i="12"/>
  <c r="N27" i="11"/>
  <c r="N31" i="11"/>
  <c r="N30" i="11"/>
  <c r="K30" i="9"/>
  <c r="K31" i="9"/>
  <c r="K27" i="9"/>
  <c r="M30" i="11"/>
  <c r="M27" i="11"/>
  <c r="M31" i="11"/>
  <c r="I30" i="11"/>
  <c r="I31" i="11"/>
  <c r="I27" i="11"/>
  <c r="N21" i="8"/>
  <c r="F21" i="8"/>
  <c r="D28" i="8"/>
  <c r="D32" i="8" s="1"/>
  <c r="L21" i="8"/>
  <c r="D21" i="8"/>
  <c r="D26" i="8"/>
  <c r="J21" i="8"/>
  <c r="D15" i="8"/>
  <c r="D29" i="8"/>
  <c r="G21" i="8"/>
  <c r="D25" i="8"/>
  <c r="D24" i="8"/>
  <c r="O21" i="8"/>
  <c r="M21" i="8"/>
  <c r="E21" i="8"/>
  <c r="K21" i="8"/>
  <c r="P14" i="8"/>
  <c r="I21" i="8"/>
  <c r="H21" i="8"/>
  <c r="I31" i="10"/>
  <c r="I27" i="10"/>
  <c r="I30" i="10"/>
  <c r="P28" i="6"/>
  <c r="P32" i="6" s="1"/>
  <c r="P26" i="6"/>
  <c r="P25" i="6"/>
  <c r="P29" i="6"/>
  <c r="P24" i="6"/>
  <c r="P25" i="10"/>
  <c r="R15" i="10"/>
  <c r="P29" i="10"/>
  <c r="P28" i="10"/>
  <c r="P32" i="10" s="1"/>
  <c r="P26" i="10"/>
  <c r="P24" i="10"/>
  <c r="D27" i="11"/>
  <c r="D31" i="11"/>
  <c r="D30" i="11"/>
  <c r="P15" i="11"/>
  <c r="H26" i="15"/>
  <c r="H31" i="15"/>
  <c r="H27" i="15"/>
  <c r="H17" i="15"/>
  <c r="H30" i="15"/>
  <c r="H34" i="15" s="1"/>
  <c r="H28" i="15"/>
  <c r="G27" i="1"/>
  <c r="G30" i="1"/>
  <c r="G31" i="1"/>
  <c r="G26" i="16"/>
  <c r="G27" i="16"/>
  <c r="G30" i="16"/>
  <c r="G34" i="16" s="1"/>
  <c r="G17" i="16"/>
  <c r="G28" i="16"/>
  <c r="G31" i="16"/>
  <c r="E31" i="12"/>
  <c r="E27" i="12"/>
  <c r="E30" i="12"/>
  <c r="M30" i="10"/>
  <c r="M27" i="10"/>
  <c r="M31" i="10"/>
  <c r="L30" i="8"/>
  <c r="L31" i="8"/>
  <c r="L27" i="8"/>
  <c r="I20" i="22"/>
  <c r="L21" i="18"/>
  <c r="I27" i="12"/>
  <c r="I31" i="12"/>
  <c r="I30" i="12"/>
  <c r="F32" i="14"/>
  <c r="F33" i="14"/>
  <c r="F29" i="14"/>
  <c r="L27" i="10"/>
  <c r="L31" i="10"/>
  <c r="L30" i="10"/>
  <c r="J21" i="19"/>
  <c r="P15" i="19"/>
  <c r="O20" i="20"/>
  <c r="O16" i="20"/>
  <c r="G30" i="18"/>
  <c r="G34" i="18" s="1"/>
  <c r="G28" i="18"/>
  <c r="G31" i="18"/>
  <c r="G27" i="18"/>
  <c r="G17" i="18"/>
  <c r="G26" i="18"/>
  <c r="M20" i="21"/>
  <c r="M16" i="21"/>
  <c r="D28" i="20"/>
  <c r="D17" i="20"/>
  <c r="D31" i="20"/>
  <c r="P16" i="20"/>
  <c r="D26" i="20"/>
  <c r="D27" i="20"/>
  <c r="F23" i="20"/>
  <c r="D23" i="20"/>
  <c r="L23" i="20"/>
  <c r="D30" i="20"/>
  <c r="D34" i="20" s="1"/>
  <c r="J21" i="20"/>
  <c r="F33" i="15"/>
  <c r="F32" i="15"/>
  <c r="F29" i="15"/>
  <c r="P15" i="16"/>
  <c r="H27" i="16"/>
  <c r="H30" i="16"/>
  <c r="H34" i="16" s="1"/>
  <c r="H17" i="16"/>
  <c r="H28" i="16"/>
  <c r="H31" i="16"/>
  <c r="H26" i="16"/>
  <c r="D16" i="18"/>
  <c r="H21" i="18"/>
  <c r="O33" i="14"/>
  <c r="O29" i="14"/>
  <c r="O32" i="14"/>
  <c r="N27" i="12"/>
  <c r="N30" i="12"/>
  <c r="N31" i="12"/>
  <c r="L33" i="13"/>
  <c r="L29" i="13"/>
  <c r="L32" i="13"/>
  <c r="D30" i="12"/>
  <c r="D31" i="12"/>
  <c r="D27" i="12"/>
  <c r="P15" i="12"/>
  <c r="G31" i="8"/>
  <c r="G27" i="8"/>
  <c r="G30" i="8"/>
  <c r="O27" i="7"/>
  <c r="O30" i="7"/>
  <c r="O31" i="7"/>
  <c r="M31" i="1"/>
  <c r="M30" i="1"/>
  <c r="M27" i="1"/>
  <c r="L27" i="6"/>
  <c r="L30" i="6"/>
  <c r="L31" i="6"/>
  <c r="G29" i="15"/>
  <c r="G33" i="15"/>
  <c r="G32" i="15"/>
  <c r="O30" i="9"/>
  <c r="O27" i="9"/>
  <c r="O31" i="9"/>
  <c r="H27" i="7"/>
  <c r="H30" i="7"/>
  <c r="H31" i="7"/>
  <c r="N30" i="6"/>
  <c r="N27" i="6"/>
  <c r="N31" i="6"/>
  <c r="F37" i="1"/>
  <c r="M16" i="22"/>
  <c r="M24" i="22"/>
  <c r="M26" i="22"/>
  <c r="M25" i="22"/>
  <c r="M28" i="22"/>
  <c r="M32" i="22" s="1"/>
  <c r="M29" i="22"/>
  <c r="N33" i="15"/>
  <c r="N32" i="15"/>
  <c r="N29" i="15"/>
  <c r="E30" i="10"/>
  <c r="E31" i="10"/>
  <c r="E27" i="10"/>
  <c r="E28" i="16"/>
  <c r="E31" i="16"/>
  <c r="E26" i="16"/>
  <c r="E27" i="16"/>
  <c r="E30" i="16"/>
  <c r="E34" i="16" s="1"/>
  <c r="E17" i="16"/>
  <c r="K38" i="7"/>
  <c r="K39" i="7"/>
  <c r="H20" i="22"/>
  <c r="N21" i="18"/>
  <c r="J31" i="9"/>
  <c r="J27" i="9"/>
  <c r="J30" i="9"/>
  <c r="K30" i="10"/>
  <c r="K31" i="10"/>
  <c r="K27" i="10"/>
  <c r="E29" i="13"/>
  <c r="E32" i="13"/>
  <c r="E33" i="13"/>
  <c r="L31" i="7"/>
  <c r="L30" i="7"/>
  <c r="L27" i="7"/>
  <c r="P11" i="22"/>
  <c r="K30" i="11"/>
  <c r="K31" i="11"/>
  <c r="K27" i="11"/>
  <c r="M30" i="9"/>
  <c r="M31" i="9"/>
  <c r="M27" i="9"/>
  <c r="F25" i="22"/>
  <c r="F26" i="22"/>
  <c r="F24" i="22"/>
  <c r="F16" i="22"/>
  <c r="F29" i="22"/>
  <c r="F28" i="22"/>
  <c r="F32" i="22" s="1"/>
  <c r="H16" i="19"/>
  <c r="H20" i="19"/>
  <c r="L27" i="22"/>
  <c r="L30" i="22"/>
  <c r="L31" i="22"/>
  <c r="G27" i="20"/>
  <c r="G28" i="20"/>
  <c r="G17" i="20"/>
  <c r="G30" i="20"/>
  <c r="G34" i="20" s="1"/>
  <c r="G31" i="20"/>
  <c r="G26" i="20"/>
  <c r="R12" i="19"/>
  <c r="K23" i="16"/>
  <c r="D17" i="16"/>
  <c r="D28" i="16"/>
  <c r="J23" i="16"/>
  <c r="P16" i="16"/>
  <c r="D31" i="16"/>
  <c r="I23" i="16"/>
  <c r="D26" i="16"/>
  <c r="H23" i="16"/>
  <c r="O23" i="16"/>
  <c r="G23" i="16"/>
  <c r="N23" i="16"/>
  <c r="F23" i="16"/>
  <c r="D27" i="16"/>
  <c r="M23" i="16"/>
  <c r="E23" i="16"/>
  <c r="D30" i="16"/>
  <c r="D34" i="16" s="1"/>
  <c r="L23" i="16"/>
  <c r="D23" i="16"/>
  <c r="N17" i="21"/>
  <c r="N26" i="21"/>
  <c r="N31" i="21"/>
  <c r="N28" i="21"/>
  <c r="N30" i="21"/>
  <c r="N34" i="21" s="1"/>
  <c r="N27" i="21"/>
  <c r="F26" i="20"/>
  <c r="F30" i="20"/>
  <c r="F34" i="20" s="1"/>
  <c r="F31" i="20"/>
  <c r="F17" i="20"/>
  <c r="F28" i="20"/>
  <c r="F27" i="20"/>
  <c r="I31" i="22"/>
  <c r="I27" i="22"/>
  <c r="I30" i="22"/>
  <c r="L21" i="20"/>
  <c r="M31" i="20"/>
  <c r="M26" i="20"/>
  <c r="M30" i="20"/>
  <c r="M34" i="20" s="1"/>
  <c r="M17" i="20"/>
  <c r="M28" i="20"/>
  <c r="M27" i="20"/>
  <c r="M15" i="17"/>
  <c r="M16" i="17" s="1"/>
  <c r="E15" i="17"/>
  <c r="E16" i="17" s="1"/>
  <c r="J15" i="17"/>
  <c r="F15" i="17"/>
  <c r="F16" i="17" s="1"/>
  <c r="O15" i="17"/>
  <c r="O16" i="17" s="1"/>
  <c r="D15" i="17"/>
  <c r="N15" i="17"/>
  <c r="N16" i="17" s="1"/>
  <c r="L15" i="17"/>
  <c r="L16" i="17" s="1"/>
  <c r="K15" i="17"/>
  <c r="D39" i="17"/>
  <c r="I15" i="17"/>
  <c r="H15" i="17"/>
  <c r="H16" i="17" s="1"/>
  <c r="G15" i="17"/>
  <c r="G16" i="17" s="1"/>
  <c r="L28" i="16"/>
  <c r="L31" i="16"/>
  <c r="L17" i="16"/>
  <c r="L26" i="16"/>
  <c r="L27" i="16"/>
  <c r="L30" i="16"/>
  <c r="L34" i="16" s="1"/>
  <c r="M21" i="18"/>
  <c r="K31" i="12"/>
  <c r="K27" i="12"/>
  <c r="K30" i="12"/>
  <c r="F36" i="12"/>
  <c r="L31" i="12"/>
  <c r="L30" i="12"/>
  <c r="L27" i="12"/>
  <c r="P24" i="12"/>
  <c r="P25" i="12"/>
  <c r="P28" i="12"/>
  <c r="P32" i="12" s="1"/>
  <c r="R15" i="12"/>
  <c r="P29" i="12"/>
  <c r="P26" i="12"/>
  <c r="D30" i="15"/>
  <c r="D34" i="15" s="1"/>
  <c r="L23" i="15"/>
  <c r="D23" i="15"/>
  <c r="D17" i="15"/>
  <c r="D28" i="15"/>
  <c r="J23" i="15"/>
  <c r="D27" i="15"/>
  <c r="M23" i="15"/>
  <c r="E23" i="15"/>
  <c r="H23" i="15"/>
  <c r="F23" i="15"/>
  <c r="D26" i="15"/>
  <c r="O23" i="15"/>
  <c r="K23" i="15"/>
  <c r="I23" i="15"/>
  <c r="G23" i="15"/>
  <c r="P16" i="15"/>
  <c r="D31" i="15"/>
  <c r="N23" i="15"/>
  <c r="G27" i="12"/>
  <c r="G30" i="12"/>
  <c r="G31" i="12"/>
  <c r="F27" i="9"/>
  <c r="F31" i="9"/>
  <c r="P15" i="9"/>
  <c r="F30" i="9"/>
  <c r="D27" i="10"/>
  <c r="D31" i="10"/>
  <c r="D30" i="10"/>
  <c r="P15" i="10"/>
  <c r="H31" i="9"/>
  <c r="H30" i="9"/>
  <c r="H27" i="9"/>
  <c r="O30" i="11"/>
  <c r="O31" i="11"/>
  <c r="O27" i="11"/>
  <c r="F37" i="8"/>
  <c r="H31" i="6"/>
  <c r="H30" i="6"/>
  <c r="H27" i="6"/>
  <c r="M27" i="14"/>
  <c r="M30" i="14"/>
  <c r="M34" i="14" s="1"/>
  <c r="M31" i="14"/>
  <c r="M26" i="14"/>
  <c r="M17" i="14"/>
  <c r="M28" i="14"/>
  <c r="K21" i="18"/>
  <c r="N31" i="1"/>
  <c r="N30" i="1"/>
  <c r="N27" i="1"/>
  <c r="H31" i="11"/>
  <c r="H27" i="11"/>
  <c r="H30" i="11"/>
  <c r="P25" i="9"/>
  <c r="R15" i="9"/>
  <c r="P29" i="9"/>
  <c r="P28" i="9"/>
  <c r="P32" i="9" s="1"/>
  <c r="P26" i="9"/>
  <c r="P24" i="9"/>
  <c r="F31" i="1"/>
  <c r="F27" i="1"/>
  <c r="F30" i="1"/>
  <c r="E29" i="21"/>
  <c r="E32" i="21"/>
  <c r="E33" i="21"/>
  <c r="F21" i="18"/>
  <c r="O29" i="21"/>
  <c r="O32" i="21"/>
  <c r="O33" i="21"/>
  <c r="I26" i="18"/>
  <c r="I20" i="18"/>
  <c r="H30" i="21"/>
  <c r="H34" i="21" s="1"/>
  <c r="H31" i="21"/>
  <c r="H28" i="21"/>
  <c r="H17" i="21"/>
  <c r="H26" i="21"/>
  <c r="H27" i="21"/>
  <c r="N25" i="22"/>
  <c r="N26" i="22"/>
  <c r="N24" i="22"/>
  <c r="N29" i="22"/>
  <c r="N16" i="22"/>
  <c r="N28" i="22"/>
  <c r="N32" i="22" s="1"/>
  <c r="F39" i="19"/>
  <c r="S9" i="16"/>
  <c r="S11" i="16"/>
  <c r="I33" i="21"/>
  <c r="I29" i="21"/>
  <c r="I32" i="21"/>
  <c r="N21" i="20"/>
  <c r="E27" i="22"/>
  <c r="E30" i="22"/>
  <c r="E31" i="22"/>
  <c r="E30" i="18"/>
  <c r="E34" i="18" s="1"/>
  <c r="E26" i="18"/>
  <c r="E17" i="18"/>
  <c r="E31" i="18"/>
  <c r="E27" i="18"/>
  <c r="E28" i="18"/>
  <c r="N31" i="13"/>
  <c r="N17" i="13"/>
  <c r="N27" i="13"/>
  <c r="N30" i="13"/>
  <c r="N34" i="13" s="1"/>
  <c r="N26" i="13"/>
  <c r="N28" i="13"/>
  <c r="O32" i="13"/>
  <c r="O33" i="13"/>
  <c r="O29" i="13"/>
  <c r="M33" i="15"/>
  <c r="M32" i="15"/>
  <c r="M29" i="15"/>
  <c r="L27" i="18"/>
  <c r="L30" i="18"/>
  <c r="L34" i="18" s="1"/>
  <c r="L31" i="18"/>
  <c r="L28" i="18"/>
  <c r="L26" i="18"/>
  <c r="L17" i="18"/>
  <c r="I31" i="9"/>
  <c r="I30" i="9"/>
  <c r="I27" i="9"/>
  <c r="J31" i="10"/>
  <c r="J27" i="10"/>
  <c r="J30" i="10"/>
  <c r="N27" i="7"/>
  <c r="N31" i="7"/>
  <c r="N30" i="7"/>
  <c r="G30" i="11"/>
  <c r="G31" i="11"/>
  <c r="G27" i="11"/>
  <c r="M30" i="7"/>
  <c r="M27" i="7"/>
  <c r="M31" i="7"/>
  <c r="J30" i="6"/>
  <c r="J31" i="6"/>
  <c r="J27" i="6"/>
  <c r="L30" i="15"/>
  <c r="L34" i="15" s="1"/>
  <c r="L28" i="15"/>
  <c r="L17" i="15"/>
  <c r="L27" i="15"/>
  <c r="L31" i="15"/>
  <c r="L26" i="15"/>
  <c r="L31" i="1"/>
  <c r="L30" i="1"/>
  <c r="L27" i="1"/>
  <c r="O30" i="10"/>
  <c r="O31" i="10"/>
  <c r="O27" i="10"/>
  <c r="F30" i="6"/>
  <c r="F31" i="6"/>
  <c r="F27" i="6"/>
  <c r="G27" i="7"/>
  <c r="G30" i="7"/>
  <c r="G31" i="7"/>
  <c r="E31" i="7"/>
  <c r="E30" i="7"/>
  <c r="E27" i="7"/>
  <c r="O27" i="12"/>
  <c r="O30" i="12"/>
  <c r="O31" i="12"/>
  <c r="O30" i="19"/>
  <c r="O34" i="19" s="1"/>
  <c r="O28" i="19"/>
  <c r="O31" i="19"/>
  <c r="O17" i="19"/>
  <c r="O26" i="19"/>
  <c r="O27" i="19"/>
  <c r="K39" i="8"/>
  <c r="K38" i="8"/>
  <c r="F16" i="18"/>
  <c r="F20" i="18"/>
  <c r="R9" i="20"/>
  <c r="K41" i="16"/>
  <c r="E30" i="11"/>
  <c r="E27" i="11"/>
  <c r="E31" i="11"/>
  <c r="K21" i="7"/>
  <c r="D26" i="7"/>
  <c r="J21" i="7"/>
  <c r="D29" i="7"/>
  <c r="I21" i="7"/>
  <c r="D15" i="7"/>
  <c r="D25" i="7"/>
  <c r="O21" i="7"/>
  <c r="D21" i="7"/>
  <c r="N21" i="7"/>
  <c r="D28" i="7"/>
  <c r="D32" i="7" s="1"/>
  <c r="D24" i="7"/>
  <c r="M21" i="7"/>
  <c r="E21" i="7"/>
  <c r="L21" i="7"/>
  <c r="F21" i="7"/>
  <c r="H21" i="7"/>
  <c r="G21" i="7"/>
  <c r="P14" i="7"/>
  <c r="N27" i="9"/>
  <c r="N31" i="9"/>
  <c r="N30" i="9"/>
  <c r="D33" i="21"/>
  <c r="D32" i="21"/>
  <c r="D29" i="21"/>
  <c r="D40" i="16"/>
  <c r="F38" i="16" s="1"/>
  <c r="M30" i="19"/>
  <c r="M34" i="19" s="1"/>
  <c r="M26" i="19"/>
  <c r="M31" i="19"/>
  <c r="M17" i="19"/>
  <c r="M27" i="19"/>
  <c r="M28" i="19"/>
  <c r="K23" i="13"/>
  <c r="D31" i="13"/>
  <c r="I23" i="13"/>
  <c r="P16" i="13"/>
  <c r="D26" i="13"/>
  <c r="H23" i="13"/>
  <c r="O23" i="13"/>
  <c r="G23" i="13"/>
  <c r="L23" i="13"/>
  <c r="F23" i="13"/>
  <c r="E23" i="13"/>
  <c r="D23" i="13"/>
  <c r="D30" i="13"/>
  <c r="D34" i="13" s="1"/>
  <c r="N23" i="13"/>
  <c r="J23" i="13"/>
  <c r="D17" i="13"/>
  <c r="D27" i="13"/>
  <c r="D28" i="13"/>
  <c r="M23" i="13"/>
  <c r="J31" i="11"/>
  <c r="J27" i="11"/>
  <c r="J30" i="11"/>
  <c r="M27" i="6"/>
  <c r="M30" i="6"/>
  <c r="M31" i="6"/>
  <c r="O30" i="22"/>
  <c r="O27" i="22"/>
  <c r="O31" i="22"/>
  <c r="O31" i="15"/>
  <c r="O28" i="15"/>
  <c r="O17" i="15"/>
  <c r="O27" i="15"/>
  <c r="O26" i="15"/>
  <c r="O30" i="15"/>
  <c r="O34" i="15" s="1"/>
  <c r="G30" i="10"/>
  <c r="G31" i="10"/>
  <c r="G27" i="10"/>
  <c r="F29" i="13"/>
  <c r="F32" i="13"/>
  <c r="F33" i="13"/>
  <c r="L27" i="11"/>
  <c r="L31" i="11"/>
  <c r="L30" i="11"/>
  <c r="D27" i="22"/>
  <c r="R22" i="21"/>
  <c r="R24" i="21" s="1"/>
  <c r="D30" i="22"/>
  <c r="D31" i="22"/>
  <c r="F29" i="21"/>
  <c r="F32" i="21"/>
  <c r="F33" i="21"/>
  <c r="N26" i="20"/>
  <c r="N28" i="20"/>
  <c r="N31" i="20"/>
  <c r="N30" i="20"/>
  <c r="N34" i="20" s="1"/>
  <c r="N27" i="20"/>
  <c r="N17" i="20"/>
  <c r="O30" i="18"/>
  <c r="O34" i="18" s="1"/>
  <c r="O28" i="18"/>
  <c r="O31" i="18"/>
  <c r="O27" i="18"/>
  <c r="O26" i="18"/>
  <c r="O17" i="18"/>
  <c r="L21" i="22"/>
  <c r="F21" i="22"/>
  <c r="J26" i="21"/>
  <c r="J20" i="21"/>
  <c r="M21" i="21"/>
  <c r="O21" i="21"/>
  <c r="J23" i="21"/>
  <c r="M4" i="22"/>
  <c r="O21" i="19"/>
  <c r="L27" i="19"/>
  <c r="L30" i="19"/>
  <c r="L34" i="19" s="1"/>
  <c r="L17" i="19"/>
  <c r="L26" i="19"/>
  <c r="L31" i="19"/>
  <c r="L28" i="19"/>
  <c r="M23" i="21"/>
  <c r="D40" i="18"/>
  <c r="F38" i="18" s="1"/>
  <c r="N16" i="18"/>
  <c r="N20" i="18"/>
  <c r="E20" i="20"/>
  <c r="E16" i="20"/>
  <c r="K23" i="20" s="1"/>
  <c r="G28" i="21"/>
  <c r="G27" i="21"/>
  <c r="G30" i="21"/>
  <c r="G34" i="21" s="1"/>
  <c r="G26" i="21"/>
  <c r="G17" i="21"/>
  <c r="G31" i="21"/>
  <c r="M30" i="18"/>
  <c r="M34" i="18" s="1"/>
  <c r="M27" i="18"/>
  <c r="M28" i="18"/>
  <c r="M31" i="18"/>
  <c r="M26" i="18"/>
  <c r="M17" i="18"/>
  <c r="M28" i="16"/>
  <c r="M31" i="16"/>
  <c r="M17" i="16"/>
  <c r="M26" i="16"/>
  <c r="M27" i="16"/>
  <c r="M30" i="16"/>
  <c r="M34" i="16" s="1"/>
  <c r="J21" i="18"/>
  <c r="I21" i="18"/>
  <c r="K27" i="6"/>
  <c r="K31" i="6"/>
  <c r="K30" i="6"/>
  <c r="T10" i="10"/>
  <c r="T10" i="9" s="1"/>
  <c r="T10" i="8" s="1"/>
  <c r="T10" i="7" s="1"/>
  <c r="F30" i="8"/>
  <c r="F31" i="8"/>
  <c r="F27" i="8"/>
  <c r="M31" i="8"/>
  <c r="M30" i="8"/>
  <c r="M27" i="8"/>
  <c r="P25" i="1" l="1"/>
  <c r="P29" i="1"/>
  <c r="P26" i="1"/>
  <c r="P15" i="1"/>
  <c r="P31" i="1" s="1"/>
  <c r="D30" i="1"/>
  <c r="D31" i="1"/>
  <c r="P28" i="1"/>
  <c r="P32" i="1" s="1"/>
  <c r="P24" i="1"/>
  <c r="G28" i="17"/>
  <c r="G26" i="17"/>
  <c r="G31" i="17"/>
  <c r="G30" i="17"/>
  <c r="G34" i="17" s="1"/>
  <c r="G17" i="17"/>
  <c r="G27" i="17"/>
  <c r="F17" i="17"/>
  <c r="F31" i="17"/>
  <c r="F26" i="17"/>
  <c r="F30" i="17"/>
  <c r="F34" i="17" s="1"/>
  <c r="F28" i="17"/>
  <c r="F27" i="17"/>
  <c r="H17" i="19"/>
  <c r="H31" i="19"/>
  <c r="H26" i="19"/>
  <c r="H28" i="19"/>
  <c r="H27" i="19"/>
  <c r="H30" i="19"/>
  <c r="H34" i="19" s="1"/>
  <c r="H28" i="22"/>
  <c r="H32" i="22" s="1"/>
  <c r="H16" i="22"/>
  <c r="H29" i="22"/>
  <c r="H25" i="22"/>
  <c r="H26" i="22"/>
  <c r="H24" i="22"/>
  <c r="O21" i="22"/>
  <c r="H21" i="22"/>
  <c r="P15" i="22"/>
  <c r="J21" i="22"/>
  <c r="M21" i="22"/>
  <c r="N21" i="22"/>
  <c r="D31" i="7"/>
  <c r="D27" i="7"/>
  <c r="P15" i="7"/>
  <c r="D30" i="7"/>
  <c r="L29" i="18"/>
  <c r="L32" i="18"/>
  <c r="L33" i="18"/>
  <c r="N29" i="13"/>
  <c r="N32" i="13"/>
  <c r="N33" i="13"/>
  <c r="P31" i="9"/>
  <c r="P30" i="9"/>
  <c r="P27" i="9"/>
  <c r="P26" i="15"/>
  <c r="P31" i="15"/>
  <c r="P30" i="15"/>
  <c r="P34" i="15" s="1"/>
  <c r="P28" i="15"/>
  <c r="P27" i="15"/>
  <c r="D40" i="17"/>
  <c r="F38" i="17" s="1"/>
  <c r="F39" i="17"/>
  <c r="K41" i="17"/>
  <c r="E30" i="17"/>
  <c r="E34" i="17" s="1"/>
  <c r="E28" i="17"/>
  <c r="E31" i="17"/>
  <c r="E17" i="17"/>
  <c r="E26" i="17"/>
  <c r="E27" i="17"/>
  <c r="P26" i="8"/>
  <c r="P24" i="8"/>
  <c r="P29" i="8"/>
  <c r="P28" i="8"/>
  <c r="P32" i="8" s="1"/>
  <c r="R15" i="8"/>
  <c r="P25" i="8"/>
  <c r="P30" i="14"/>
  <c r="P34" i="14" s="1"/>
  <c r="P28" i="14"/>
  <c r="R17" i="14"/>
  <c r="P31" i="14"/>
  <c r="P26" i="14"/>
  <c r="P27" i="14"/>
  <c r="P16" i="19"/>
  <c r="K23" i="19"/>
  <c r="O23" i="19"/>
  <c r="I29" i="19"/>
  <c r="I32" i="19"/>
  <c r="I33" i="19"/>
  <c r="H33" i="18"/>
  <c r="H32" i="18"/>
  <c r="H29" i="18"/>
  <c r="M32" i="18"/>
  <c r="M33" i="18"/>
  <c r="M29" i="18"/>
  <c r="O28" i="17"/>
  <c r="O26" i="17"/>
  <c r="O31" i="17"/>
  <c r="O30" i="17"/>
  <c r="O34" i="17" s="1"/>
  <c r="O27" i="17"/>
  <c r="O17" i="17"/>
  <c r="H31" i="17"/>
  <c r="H28" i="17"/>
  <c r="H27" i="17"/>
  <c r="H26" i="17"/>
  <c r="H30" i="17"/>
  <c r="H34" i="17" s="1"/>
  <c r="H17" i="17"/>
  <c r="N23" i="19"/>
  <c r="H32" i="15"/>
  <c r="H33" i="15"/>
  <c r="H29" i="15"/>
  <c r="E31" i="20"/>
  <c r="E26" i="20"/>
  <c r="E30" i="20"/>
  <c r="E34" i="20" s="1"/>
  <c r="E28" i="20"/>
  <c r="E27" i="20"/>
  <c r="E17" i="20"/>
  <c r="P17" i="20" s="1"/>
  <c r="P27" i="13"/>
  <c r="P30" i="13"/>
  <c r="P34" i="13" s="1"/>
  <c r="P26" i="13"/>
  <c r="R17" i="13"/>
  <c r="P31" i="13"/>
  <c r="P28" i="13"/>
  <c r="M29" i="14"/>
  <c r="M33" i="14"/>
  <c r="M32" i="14"/>
  <c r="M30" i="17"/>
  <c r="M34" i="17" s="1"/>
  <c r="M28" i="17"/>
  <c r="M31" i="17"/>
  <c r="M17" i="17"/>
  <c r="M27" i="17"/>
  <c r="M26" i="17"/>
  <c r="D33" i="16"/>
  <c r="D29" i="16"/>
  <c r="D32" i="16"/>
  <c r="P17" i="16"/>
  <c r="F27" i="22"/>
  <c r="F30" i="22"/>
  <c r="F31" i="22"/>
  <c r="H29" i="16"/>
  <c r="H32" i="16"/>
  <c r="H33" i="16"/>
  <c r="G23" i="20"/>
  <c r="E23" i="20"/>
  <c r="D32" i="20"/>
  <c r="D33" i="20"/>
  <c r="D29" i="20"/>
  <c r="D30" i="8"/>
  <c r="P15" i="8"/>
  <c r="D27" i="8"/>
  <c r="D31" i="8"/>
  <c r="K33" i="21"/>
  <c r="K32" i="21"/>
  <c r="K29" i="21"/>
  <c r="L29" i="21"/>
  <c r="L33" i="21"/>
  <c r="L32" i="21"/>
  <c r="F29" i="16"/>
  <c r="F32" i="16"/>
  <c r="F33" i="16"/>
  <c r="I21" i="22"/>
  <c r="N33" i="19"/>
  <c r="N32" i="19"/>
  <c r="N29" i="19"/>
  <c r="D32" i="15"/>
  <c r="P17" i="15"/>
  <c r="D29" i="15"/>
  <c r="D33" i="15"/>
  <c r="M27" i="22"/>
  <c r="M30" i="22"/>
  <c r="M31" i="22"/>
  <c r="O23" i="18"/>
  <c r="G23" i="18"/>
  <c r="D27" i="18"/>
  <c r="M23" i="18"/>
  <c r="E23" i="18"/>
  <c r="D30" i="18"/>
  <c r="D34" i="18" s="1"/>
  <c r="L23" i="18"/>
  <c r="D23" i="18"/>
  <c r="D28" i="18"/>
  <c r="F23" i="18"/>
  <c r="D26" i="18"/>
  <c r="N23" i="18"/>
  <c r="K23" i="18"/>
  <c r="D17" i="18"/>
  <c r="D31" i="18"/>
  <c r="J23" i="18"/>
  <c r="P16" i="18"/>
  <c r="I23" i="18"/>
  <c r="H23" i="18"/>
  <c r="O32" i="18"/>
  <c r="O33" i="18"/>
  <c r="O29" i="18"/>
  <c r="O29" i="15"/>
  <c r="O33" i="15"/>
  <c r="O32" i="15"/>
  <c r="H27" i="20"/>
  <c r="H30" i="20"/>
  <c r="H34" i="20" s="1"/>
  <c r="H31" i="20"/>
  <c r="H26" i="20"/>
  <c r="H17" i="20"/>
  <c r="H28" i="20"/>
  <c r="F33" i="19"/>
  <c r="F29" i="19"/>
  <c r="F32" i="19"/>
  <c r="G33" i="18"/>
  <c r="G32" i="18"/>
  <c r="G29" i="18"/>
  <c r="E30" i="19"/>
  <c r="E34" i="19" s="1"/>
  <c r="E17" i="19"/>
  <c r="E31" i="19"/>
  <c r="E28" i="19"/>
  <c r="E27" i="19"/>
  <c r="E26" i="19"/>
  <c r="I23" i="19"/>
  <c r="M33" i="16"/>
  <c r="M29" i="16"/>
  <c r="M32" i="16"/>
  <c r="L29" i="19"/>
  <c r="L33" i="19"/>
  <c r="L32" i="19"/>
  <c r="F39" i="16"/>
  <c r="O33" i="19"/>
  <c r="O32" i="19"/>
  <c r="O29" i="19"/>
  <c r="K21" i="22"/>
  <c r="L33" i="16"/>
  <c r="L29" i="16"/>
  <c r="L32" i="16"/>
  <c r="L27" i="17"/>
  <c r="L28" i="17"/>
  <c r="L26" i="17"/>
  <c r="L31" i="17"/>
  <c r="L30" i="17"/>
  <c r="L34" i="17" s="1"/>
  <c r="L17" i="17"/>
  <c r="N23" i="20"/>
  <c r="M23" i="20"/>
  <c r="J23" i="20"/>
  <c r="O29" i="16"/>
  <c r="O32" i="16"/>
  <c r="O33" i="16"/>
  <c r="D32" i="14"/>
  <c r="P17" i="14"/>
  <c r="D29" i="14"/>
  <c r="D33" i="14"/>
  <c r="F39" i="18"/>
  <c r="L23" i="19"/>
  <c r="Q19" i="21"/>
  <c r="P27" i="20"/>
  <c r="P30" i="20"/>
  <c r="P34" i="20" s="1"/>
  <c r="P31" i="20"/>
  <c r="P28" i="20"/>
  <c r="P26" i="20"/>
  <c r="M32" i="19"/>
  <c r="M33" i="19"/>
  <c r="M29" i="19"/>
  <c r="I23" i="20"/>
  <c r="G23" i="19"/>
  <c r="P31" i="10"/>
  <c r="P30" i="10"/>
  <c r="P27" i="10"/>
  <c r="N31" i="17"/>
  <c r="N17" i="17"/>
  <c r="N26" i="17"/>
  <c r="N30" i="17"/>
  <c r="N34" i="17" s="1"/>
  <c r="N28" i="17"/>
  <c r="N27" i="17"/>
  <c r="O23" i="20"/>
  <c r="P31" i="11"/>
  <c r="P27" i="11"/>
  <c r="P30" i="11"/>
  <c r="J23" i="19"/>
  <c r="N29" i="16"/>
  <c r="N32" i="16"/>
  <c r="N33" i="16"/>
  <c r="D33" i="13"/>
  <c r="D29" i="13"/>
  <c r="D32" i="13"/>
  <c r="P17" i="13"/>
  <c r="F27" i="18"/>
  <c r="F28" i="18"/>
  <c r="F26" i="18"/>
  <c r="F17" i="18"/>
  <c r="F30" i="18"/>
  <c r="F34" i="18" s="1"/>
  <c r="F31" i="18"/>
  <c r="E32" i="18"/>
  <c r="E33" i="18"/>
  <c r="E29" i="18"/>
  <c r="G33" i="19"/>
  <c r="G32" i="19"/>
  <c r="G29" i="19"/>
  <c r="F29" i="20"/>
  <c r="F32" i="20"/>
  <c r="F33" i="20"/>
  <c r="P27" i="16"/>
  <c r="P30" i="16"/>
  <c r="P34" i="16" s="1"/>
  <c r="P28" i="16"/>
  <c r="R17" i="16"/>
  <c r="P31" i="16"/>
  <c r="P26" i="16"/>
  <c r="G29" i="16"/>
  <c r="G32" i="16"/>
  <c r="G33" i="16"/>
  <c r="N29" i="21"/>
  <c r="N32" i="21"/>
  <c r="N33" i="21"/>
  <c r="R19" i="21"/>
  <c r="G29" i="20"/>
  <c r="G32" i="20"/>
  <c r="G33" i="20"/>
  <c r="P30" i="12"/>
  <c r="P27" i="12"/>
  <c r="P31" i="12"/>
  <c r="P25" i="7"/>
  <c r="P24" i="7"/>
  <c r="R15" i="7"/>
  <c r="P29" i="7"/>
  <c r="P26" i="7"/>
  <c r="P28" i="7"/>
  <c r="P32" i="7" s="1"/>
  <c r="L32" i="15"/>
  <c r="L29" i="15"/>
  <c r="L33" i="15"/>
  <c r="H32" i="21"/>
  <c r="H33" i="21"/>
  <c r="H29" i="21"/>
  <c r="G29" i="21"/>
  <c r="G32" i="21"/>
  <c r="G33" i="21"/>
  <c r="N27" i="18"/>
  <c r="N28" i="18"/>
  <c r="N30" i="18"/>
  <c r="N34" i="18" s="1"/>
  <c r="N26" i="18"/>
  <c r="N31" i="18"/>
  <c r="N17" i="18"/>
  <c r="N29" i="20"/>
  <c r="N32" i="20"/>
  <c r="N33" i="20"/>
  <c r="N27" i="22"/>
  <c r="N30" i="22"/>
  <c r="N31" i="22"/>
  <c r="P15" i="17"/>
  <c r="D16" i="17"/>
  <c r="M29" i="20"/>
  <c r="M33" i="20"/>
  <c r="M32" i="20"/>
  <c r="E29" i="16"/>
  <c r="E32" i="16"/>
  <c r="E33" i="16"/>
  <c r="H23" i="20"/>
  <c r="M31" i="21"/>
  <c r="M17" i="21"/>
  <c r="M30" i="21"/>
  <c r="M34" i="21" s="1"/>
  <c r="M26" i="21"/>
  <c r="M28" i="21"/>
  <c r="M27" i="21"/>
  <c r="O23" i="21"/>
  <c r="P16" i="21"/>
  <c r="N23" i="21"/>
  <c r="O27" i="20"/>
  <c r="O28" i="20"/>
  <c r="O17" i="20"/>
  <c r="O26" i="20"/>
  <c r="O30" i="20"/>
  <c r="O34" i="20" s="1"/>
  <c r="O31" i="20"/>
  <c r="D29" i="19"/>
  <c r="P17" i="19"/>
  <c r="D32" i="19"/>
  <c r="D33" i="19"/>
  <c r="E23" i="19"/>
  <c r="P27" i="1" l="1"/>
  <c r="P30" i="1"/>
  <c r="P32" i="20"/>
  <c r="P29" i="20"/>
  <c r="P33" i="20"/>
  <c r="O29" i="17"/>
  <c r="O33" i="17"/>
  <c r="O32" i="17"/>
  <c r="P31" i="19"/>
  <c r="P26" i="19"/>
  <c r="P30" i="19"/>
  <c r="P34" i="19" s="1"/>
  <c r="P27" i="19"/>
  <c r="P28" i="19"/>
  <c r="M29" i="21"/>
  <c r="M33" i="21"/>
  <c r="M32" i="21"/>
  <c r="P17" i="21"/>
  <c r="P29" i="13"/>
  <c r="P33" i="13"/>
  <c r="P32" i="13"/>
  <c r="N33" i="17"/>
  <c r="N32" i="17"/>
  <c r="N29" i="17"/>
  <c r="E32" i="19"/>
  <c r="E33" i="19"/>
  <c r="E29" i="19"/>
  <c r="H29" i="17"/>
  <c r="H32" i="17"/>
  <c r="H33" i="17"/>
  <c r="H33" i="19"/>
  <c r="H32" i="19"/>
  <c r="H29" i="19"/>
  <c r="G29" i="17"/>
  <c r="G33" i="17"/>
  <c r="G32" i="17"/>
  <c r="F33" i="17"/>
  <c r="F32" i="17"/>
  <c r="F29" i="17"/>
  <c r="D27" i="17"/>
  <c r="M23" i="17"/>
  <c r="E23" i="17"/>
  <c r="K23" i="17"/>
  <c r="D17" i="17"/>
  <c r="D28" i="17"/>
  <c r="J23" i="17"/>
  <c r="P16" i="17"/>
  <c r="L23" i="17"/>
  <c r="D31" i="17"/>
  <c r="I23" i="17"/>
  <c r="D30" i="17"/>
  <c r="D34" i="17" s="1"/>
  <c r="H23" i="17"/>
  <c r="G23" i="17"/>
  <c r="F23" i="17"/>
  <c r="D26" i="17"/>
  <c r="D23" i="17"/>
  <c r="O23" i="17"/>
  <c r="N23" i="17"/>
  <c r="H32" i="20"/>
  <c r="H33" i="20"/>
  <c r="H29" i="20"/>
  <c r="D29" i="18"/>
  <c r="P17" i="18"/>
  <c r="D32" i="18"/>
  <c r="D33" i="18"/>
  <c r="M33" i="17"/>
  <c r="M32" i="17"/>
  <c r="M29" i="17"/>
  <c r="H31" i="22"/>
  <c r="H30" i="22"/>
  <c r="H27" i="22"/>
  <c r="R17" i="21"/>
  <c r="P16" i="22"/>
  <c r="O29" i="20"/>
  <c r="O32" i="20"/>
  <c r="O33" i="20"/>
  <c r="P31" i="18"/>
  <c r="P26" i="18"/>
  <c r="P28" i="18"/>
  <c r="P27" i="18"/>
  <c r="P30" i="18"/>
  <c r="P34" i="18" s="1"/>
  <c r="P25" i="22"/>
  <c r="P28" i="22"/>
  <c r="P32" i="22" s="1"/>
  <c r="P24" i="22"/>
  <c r="P26" i="22"/>
  <c r="P29" i="22"/>
  <c r="E29" i="20"/>
  <c r="E32" i="20"/>
  <c r="E33" i="20"/>
  <c r="E33" i="17"/>
  <c r="E32" i="17"/>
  <c r="E29" i="17"/>
  <c r="P29" i="16"/>
  <c r="P32" i="16"/>
  <c r="P33" i="16"/>
  <c r="P30" i="8"/>
  <c r="P31" i="8"/>
  <c r="P27" i="8"/>
  <c r="P32" i="19"/>
  <c r="P33" i="19"/>
  <c r="P29" i="19"/>
  <c r="R17" i="19"/>
  <c r="N33" i="18"/>
  <c r="N29" i="18"/>
  <c r="N32" i="18"/>
  <c r="P27" i="21"/>
  <c r="P30" i="21"/>
  <c r="P34" i="21" s="1"/>
  <c r="P31" i="21"/>
  <c r="P26" i="21"/>
  <c r="P28" i="21"/>
  <c r="F33" i="18"/>
  <c r="F29" i="18"/>
  <c r="F32" i="18"/>
  <c r="P33" i="14"/>
  <c r="P29" i="14"/>
  <c r="P32" i="14"/>
  <c r="L33" i="17"/>
  <c r="L32" i="17"/>
  <c r="L29" i="17"/>
  <c r="P32" i="15"/>
  <c r="P29" i="15"/>
  <c r="P33" i="15"/>
  <c r="P27" i="7"/>
  <c r="P30" i="7"/>
  <c r="P31" i="7"/>
  <c r="P32" i="21" l="1"/>
  <c r="P29" i="21"/>
  <c r="P33" i="21"/>
  <c r="P31" i="22"/>
  <c r="P27" i="22"/>
  <c r="P30" i="22"/>
  <c r="P33" i="18"/>
  <c r="R17" i="18"/>
  <c r="P29" i="18"/>
  <c r="P32" i="18"/>
  <c r="P31" i="17"/>
  <c r="P30" i="17"/>
  <c r="P34" i="17" s="1"/>
  <c r="P27" i="17"/>
  <c r="P28" i="17"/>
  <c r="P26" i="17"/>
  <c r="P17" i="17"/>
  <c r="D33" i="17"/>
  <c r="D32" i="17"/>
  <c r="D29" i="17"/>
  <c r="P29" i="17" l="1"/>
  <c r="P32" i="17"/>
  <c r="P33" i="17"/>
  <c r="R17" i="17"/>
</calcChain>
</file>

<file path=xl/comments1.xml><?xml version="1.0" encoding="utf-8"?>
<comments xmlns="http://schemas.openxmlformats.org/spreadsheetml/2006/main">
  <authors>
    <author>Tuntematon tekijä</author>
  </authors>
  <commentList>
    <comment ref="O10" authorId="0" shapeId="0">
      <text>
        <r>
          <rPr>
            <sz val="10"/>
            <rFont val="Arial"/>
            <family val="2"/>
          </rPr>
          <t xml:space="preserve">janti:
</t>
        </r>
        <r>
          <rPr>
            <sz val="9"/>
            <color rgb="FF000000"/>
            <rFont val="Tahoma"/>
            <charset val="1"/>
          </rPr>
          <t>Uusi ilmalämpöpumppu 29.11.2023</t>
        </r>
      </text>
    </comment>
  </commentList>
</comments>
</file>

<file path=xl/comments2.xml><?xml version="1.0" encoding="utf-8"?>
<comments xmlns="http://schemas.openxmlformats.org/spreadsheetml/2006/main">
  <authors>
    <author>Tuntematon tekijä</author>
  </authors>
  <commentList>
    <comment ref="K12" authorId="0" shapeId="0">
      <text>
        <r>
          <rPr>
            <sz val="10"/>
            <rFont val="Arial"/>
            <family val="2"/>
          </rPr>
          <t>======
ID#AAAANO9013U
janti    (2021-07-02 06:10:46)
Jäähdytystä. 27.8. alkaen lämmitystä.</t>
        </r>
      </text>
    </comment>
  </commentList>
</comments>
</file>

<file path=xl/comments3.xml><?xml version="1.0" encoding="utf-8"?>
<comments xmlns="http://schemas.openxmlformats.org/spreadsheetml/2006/main">
  <authors>
    <author>Tuntematon tekijä</author>
  </authors>
  <commentList>
    <comment ref="H12" authorId="0" shapeId="0">
      <text>
        <r>
          <rPr>
            <sz val="10"/>
            <rFont val="Arial"/>
            <family val="2"/>
          </rPr>
          <t>======
ID#AAAANO9013M
Fortum User    (2021-07-02 06:10:46)
Mittari nollautunut sähkökatkoksen vuoksi. Kuukauden 9 ekan päivän mukaan kulutus</t>
        </r>
      </text>
    </comment>
    <comment ref="J12" authorId="0" shapeId="0">
      <text>
        <r>
          <rPr>
            <sz val="10"/>
            <rFont val="Arial"/>
            <family val="2"/>
          </rPr>
          <t>======
ID#AAAANO9013c
Janti    (2021-07-02 06:10:46)
Sähkökatkos (ukkonen) nollasi mittarin jälleen.
ILPiä ei ole käytetty Heinäkuussa.</t>
        </r>
      </text>
    </comment>
    <comment ref="K12" authorId="0" shapeId="0">
      <text>
        <r>
          <rPr>
            <sz val="10"/>
            <rFont val="Arial"/>
            <family val="2"/>
          </rPr>
          <t>======
ID#AAAANO9013Q
janti    (2021-07-02 06:10:46)
Sähkökatkos mittari nollautui 15.8.
ILP käytety ajastimella aina illalla jonkin aikaa.</t>
        </r>
      </text>
    </comment>
    <comment ref="L12" authorId="0" shapeId="0">
      <text>
        <r>
          <rPr>
            <sz val="10"/>
            <rFont val="Arial"/>
            <family val="2"/>
          </rPr>
          <t>======
ID#AAAANO9013g
janti    (2021-07-02 06:10:46)
Sähkökatkos
e</t>
        </r>
      </text>
    </comment>
  </commentList>
</comments>
</file>

<file path=xl/comments4.xml><?xml version="1.0" encoding="utf-8"?>
<comments xmlns="http://schemas.openxmlformats.org/spreadsheetml/2006/main">
  <authors>
    <author>Tuntematon tekijä</author>
  </authors>
  <commentList>
    <comment ref="N12" authorId="0" shapeId="0">
      <text>
        <r>
          <rPr>
            <sz val="10"/>
            <rFont val="Arial"/>
            <family val="2"/>
          </rPr>
          <t>======
ID#AAAANO9013Y
janti    (2021-07-02 06:10:46)
arvio energiamittarin näyttämä 0,38 kWh</t>
        </r>
      </text>
    </comment>
  </commentList>
</comments>
</file>

<file path=xl/sharedStrings.xml><?xml version="1.0" encoding="utf-8"?>
<sst xmlns="http://schemas.openxmlformats.org/spreadsheetml/2006/main" count="2314" uniqueCount="93">
  <si>
    <t>SÄHKÖNKULUTUSRAPORTTI</t>
  </si>
  <si>
    <t>Imatra omakotitalo 4H+K+S</t>
  </si>
  <si>
    <t>Asuinala</t>
  </si>
  <si>
    <r>
      <rPr>
        <sz val="10"/>
        <color theme="1"/>
        <rFont val="Arial"/>
        <charset val="1"/>
      </rPr>
      <t>m</t>
    </r>
    <r>
      <rPr>
        <vertAlign val="superscript"/>
        <sz val="10"/>
        <color theme="1"/>
        <rFont val="Arial"/>
        <charset val="1"/>
      </rPr>
      <t>2</t>
    </r>
  </si>
  <si>
    <t>Taloussähkö arvio</t>
  </si>
  <si>
    <t>kWh/d</t>
  </si>
  <si>
    <t>Tilavuus</t>
  </si>
  <si>
    <r>
      <rPr>
        <sz val="10"/>
        <color theme="1"/>
        <rFont val="Arial"/>
        <charset val="1"/>
      </rPr>
      <t>m</t>
    </r>
    <r>
      <rPr>
        <vertAlign val="superscript"/>
        <sz val="10"/>
        <color theme="1"/>
        <rFont val="Arial"/>
        <charset val="1"/>
      </rPr>
      <t>3</t>
    </r>
  </si>
  <si>
    <t>Kesäkuukausien keskikulutus (ilman ILP)</t>
  </si>
  <si>
    <t>Jakso</t>
  </si>
  <si>
    <t>Tammi</t>
  </si>
  <si>
    <t>Helmi</t>
  </si>
  <si>
    <t>Maalis</t>
  </si>
  <si>
    <t>Huhti</t>
  </si>
  <si>
    <t xml:space="preserve">Touko </t>
  </si>
  <si>
    <t>Kesä</t>
  </si>
  <si>
    <t>Heinä</t>
  </si>
  <si>
    <t>Elo</t>
  </si>
  <si>
    <t>Syys</t>
  </si>
  <si>
    <t>Loka</t>
  </si>
  <si>
    <t>Marras</t>
  </si>
  <si>
    <t>Joulu</t>
  </si>
  <si>
    <t>Yhteensä</t>
  </si>
  <si>
    <t>Keskilämpötila</t>
  </si>
  <si>
    <r>
      <rPr>
        <vertAlign val="superscript"/>
        <sz val="10"/>
        <color theme="1"/>
        <rFont val="Arial"/>
        <family val="2"/>
        <charset val="1"/>
      </rPr>
      <t>o</t>
    </r>
    <r>
      <rPr>
        <sz val="10"/>
        <color theme="1"/>
        <rFont val="Arial"/>
        <charset val="1"/>
      </rPr>
      <t>C</t>
    </r>
  </si>
  <si>
    <t>Sähkö yhteensä</t>
  </si>
  <si>
    <t>kWh</t>
  </si>
  <si>
    <t>Panan kuluttama sähkö yhteensä NZ25YKE</t>
  </si>
  <si>
    <t>Ilmalämpöpumppu, arvio</t>
  </si>
  <si>
    <t>Lämmitystarveluku toteutunut</t>
  </si>
  <si>
    <t>Cd</t>
  </si>
  <si>
    <t>Lämmitystarveluku normivuosi</t>
  </si>
  <si>
    <t>Taloussähkö (arvio)</t>
  </si>
  <si>
    <t>Lämmityssähkö (arvio)</t>
  </si>
  <si>
    <t>Sääkorjattu lämmityssähkö</t>
  </si>
  <si>
    <t>Kulutus päivässä</t>
  </si>
  <si>
    <t>Kumulatiivinen kulutus</t>
  </si>
  <si>
    <t>Kumulatiivinen kulutus ILP</t>
  </si>
  <si>
    <t>Kumulatiivinen kulutus lämmitys</t>
  </si>
  <si>
    <t>Lämmitys</t>
  </si>
  <si>
    <t>Lämmityksen osuus kulutuksesta</t>
  </si>
  <si>
    <t>Sähkönkulutus lämmitykseen</t>
  </si>
  <si>
    <r>
      <rPr>
        <sz val="10"/>
        <color theme="1"/>
        <rFont val="Arial"/>
        <charset val="1"/>
      </rPr>
      <t>kWh/</t>
    </r>
    <r>
      <rPr>
        <vertAlign val="superscript"/>
        <sz val="10"/>
        <color theme="1"/>
        <rFont val="Arial"/>
        <charset val="1"/>
      </rPr>
      <t>o</t>
    </r>
    <r>
      <rPr>
        <sz val="10"/>
        <color theme="1"/>
        <rFont val="Arial"/>
        <charset val="1"/>
      </rPr>
      <t>Cd</t>
    </r>
  </si>
  <si>
    <t>Norm sähkö lämmitykseen</t>
  </si>
  <si>
    <t>Ominaislämmönkulutus</t>
  </si>
  <si>
    <r>
      <rPr>
        <sz val="10"/>
        <color theme="1"/>
        <rFont val="Calibri"/>
        <charset val="1"/>
      </rPr>
      <t>kWh/m</t>
    </r>
    <r>
      <rPr>
        <vertAlign val="superscript"/>
        <sz val="10"/>
        <color theme="1"/>
        <rFont val="Arial"/>
        <charset val="1"/>
      </rPr>
      <t>3</t>
    </r>
  </si>
  <si>
    <r>
      <rPr>
        <sz val="10"/>
        <color theme="1"/>
        <rFont val="Calibri"/>
        <charset val="1"/>
      </rPr>
      <t>kWh/m</t>
    </r>
    <r>
      <rPr>
        <vertAlign val="superscript"/>
        <sz val="10"/>
        <color theme="1"/>
        <rFont val="Arial"/>
        <charset val="1"/>
      </rPr>
      <t>2</t>
    </r>
  </si>
  <si>
    <t>Norm lämmönkulutus</t>
  </si>
  <si>
    <r>
      <rPr>
        <sz val="10"/>
        <color theme="1"/>
        <rFont val="Calibri"/>
        <charset val="1"/>
      </rPr>
      <t>Wh/m</t>
    </r>
    <r>
      <rPr>
        <vertAlign val="superscript"/>
        <sz val="10"/>
        <color theme="1"/>
        <rFont val="Arial"/>
        <charset val="1"/>
      </rPr>
      <t>3</t>
    </r>
    <r>
      <rPr>
        <sz val="10"/>
        <color theme="1"/>
        <rFont val="Arial"/>
        <charset val="1"/>
      </rPr>
      <t>/</t>
    </r>
    <r>
      <rPr>
        <vertAlign val="superscript"/>
        <sz val="10"/>
        <color theme="1"/>
        <rFont val="Arial"/>
        <charset val="1"/>
      </rPr>
      <t>o</t>
    </r>
    <r>
      <rPr>
        <sz val="10"/>
        <color theme="1"/>
        <rFont val="Arial"/>
        <charset val="1"/>
      </rPr>
      <t>Cd</t>
    </r>
  </si>
  <si>
    <t>Vuosikulutusarvio</t>
  </si>
  <si>
    <t>Lämmityssähkö ILPillä</t>
  </si>
  <si>
    <t>Arvio lämmityssähkö ilman ILP</t>
  </si>
  <si>
    <t>Vuosikulutusarvio ilma ILP</t>
  </si>
  <si>
    <t>Taloussähkö</t>
  </si>
  <si>
    <t>Arvio ILPin säästämästä sähköstä</t>
  </si>
  <si>
    <t>Säästöarvio lämmityssähkönkulutuksesta</t>
  </si>
  <si>
    <t>Säästöarvio kokonaissähkönkulutuksesta</t>
  </si>
  <si>
    <t>ILP</t>
  </si>
  <si>
    <t>lukema</t>
  </si>
  <si>
    <t>päivät</t>
  </si>
  <si>
    <t>kulutus</t>
  </si>
  <si>
    <t>astepäivät</t>
  </si>
  <si>
    <t>jäähdytys</t>
  </si>
  <si>
    <t>.</t>
  </si>
  <si>
    <t>Panan kuluttama sähkö yhteensä E9DKEW</t>
  </si>
  <si>
    <t>oC</t>
  </si>
  <si>
    <t>oCd</t>
  </si>
  <si>
    <t>Sähkö päivä</t>
  </si>
  <si>
    <t>Sähkö yö</t>
  </si>
  <si>
    <t>Ilmalämpöpumppu</t>
  </si>
  <si>
    <t>Vesimittarilukemat</t>
  </si>
  <si>
    <t>joulukuu</t>
  </si>
  <si>
    <t>tammikuu</t>
  </si>
  <si>
    <t>helmikuu</t>
  </si>
  <si>
    <t>maaliskuu</t>
  </si>
  <si>
    <t>huhtikuu</t>
  </si>
  <si>
    <t>toukokuu</t>
  </si>
  <si>
    <t>kesäkuu</t>
  </si>
  <si>
    <t>heinäkuu</t>
  </si>
  <si>
    <t>2009 vuosi</t>
  </si>
  <si>
    <t>Vuosikulutus vesi</t>
  </si>
  <si>
    <t>m3</t>
  </si>
  <si>
    <t>elokuu</t>
  </si>
  <si>
    <t>syyskuu</t>
  </si>
  <si>
    <t>lokakuu</t>
  </si>
  <si>
    <t>=</t>
  </si>
  <si>
    <t>arviokulutus</t>
  </si>
  <si>
    <t>Lämmityssähkö</t>
  </si>
  <si>
    <t>päivä</t>
  </si>
  <si>
    <t>yö</t>
  </si>
  <si>
    <t>---</t>
  </si>
  <si>
    <t>Lämmitys, sähköpatterit (arvio)</t>
  </si>
  <si>
    <t>Taloussähkö + LVV arvio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</si>
</sst>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"/>
    <numFmt numFmtId="165" formatCode="#,##0.0"/>
    <numFmt numFmtId="166" formatCode="0.0\ %"/>
    <numFmt numFmtId="167" formatCode="#,##0_ ;\-#,##0\ "/>
    <numFmt numFmtId="168" formatCode="0.000"/>
    <numFmt numFmtId="169" formatCode="0.0000"/>
  </numFmts>
  <fonts count="21" x14ac:knownFonts="1">
    <font>
      <sz val="10"/>
      <color rgb="FF000000"/>
      <name val="Arial"/>
      <charset val="1"/>
    </font>
    <font>
      <b/>
      <sz val="14"/>
      <color theme="1"/>
      <name val="Arial"/>
      <charset val="1"/>
    </font>
    <font>
      <sz val="10"/>
      <color theme="1"/>
      <name val="Arial"/>
      <charset val="1"/>
    </font>
    <font>
      <b/>
      <sz val="8"/>
      <color rgb="FF000000"/>
      <name val="Arial"/>
      <charset val="1"/>
    </font>
    <font>
      <sz val="8"/>
      <color rgb="FF56575F"/>
      <name val="Arial"/>
      <charset val="1"/>
    </font>
    <font>
      <b/>
      <sz val="10"/>
      <color theme="1"/>
      <name val="Arial"/>
      <charset val="1"/>
    </font>
    <font>
      <vertAlign val="superscript"/>
      <sz val="10"/>
      <color theme="1"/>
      <name val="Arial"/>
      <charset val="1"/>
    </font>
    <font>
      <u/>
      <sz val="10"/>
      <color theme="10"/>
      <name val="Arial"/>
      <charset val="1"/>
    </font>
    <font>
      <sz val="8"/>
      <color theme="1"/>
      <name val="Arial"/>
      <charset val="1"/>
    </font>
    <font>
      <vertAlign val="superscript"/>
      <sz val="10"/>
      <color theme="1"/>
      <name val="Arial"/>
      <family val="2"/>
      <charset val="1"/>
    </font>
    <font>
      <sz val="8"/>
      <color rgb="FF000000"/>
      <name val="Verdana"/>
      <charset val="1"/>
    </font>
    <font>
      <sz val="10"/>
      <color theme="1"/>
      <name val="Arial"/>
      <family val="2"/>
      <charset val="1"/>
    </font>
    <font>
      <sz val="10"/>
      <color theme="1"/>
      <name val="Calibri"/>
      <charset val="1"/>
    </font>
    <font>
      <sz val="10"/>
      <name val="Arial"/>
      <family val="2"/>
    </font>
    <font>
      <sz val="9"/>
      <color rgb="FF000000"/>
      <name val="Tahoma"/>
      <charset val="1"/>
    </font>
    <font>
      <u/>
      <sz val="7"/>
      <color rgb="FF0000FF"/>
      <name val="Arial"/>
      <charset val="1"/>
    </font>
    <font>
      <b/>
      <sz val="8"/>
      <color rgb="FF000000"/>
      <name val="Verdana"/>
      <charset val="1"/>
    </font>
    <font>
      <sz val="9"/>
      <color theme="1"/>
      <name val="Arial"/>
      <charset val="1"/>
    </font>
    <font>
      <sz val="10"/>
      <color theme="1"/>
      <name val="arial"/>
      <charset val="1"/>
    </font>
    <font>
      <sz val="10"/>
      <color rgb="FF000000"/>
      <name val="Arial"/>
      <charset val="1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rgb="FF4BACC6"/>
      </patternFill>
    </fill>
    <fill>
      <patternFill patternType="solid">
        <fgColor rgb="FFFFFF00"/>
        <bgColor rgb="FFFFC000"/>
      </patternFill>
    </fill>
    <fill>
      <patternFill patternType="solid">
        <fgColor rgb="FFFFC000"/>
        <bgColor rgb="FFF79646"/>
      </patternFill>
    </fill>
    <fill>
      <patternFill patternType="solid">
        <fgColor theme="0"/>
        <bgColor rgb="FFFDE9D9"/>
      </patternFill>
    </fill>
    <fill>
      <patternFill patternType="solid">
        <fgColor rgb="FFB6DDE8"/>
        <bgColor rgb="FFBFE2EB"/>
      </patternFill>
    </fill>
    <fill>
      <patternFill patternType="solid">
        <fgColor rgb="FF00FFFF"/>
        <bgColor rgb="FF00B0F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rgb="FFC6C6C6"/>
      </left>
      <right/>
      <top style="medium">
        <color rgb="FFC6C6C6"/>
      </top>
      <bottom style="medium">
        <color rgb="FFC6C6C6"/>
      </bottom>
      <diagonal/>
    </border>
    <border>
      <left/>
      <right/>
      <top style="medium">
        <color rgb="FFC6C6C6"/>
      </top>
      <bottom style="medium">
        <color rgb="FFC6C6C6"/>
      </bottom>
      <diagonal/>
    </border>
    <border>
      <left/>
      <right style="medium">
        <color rgb="FFC6C6C6"/>
      </right>
      <top style="medium">
        <color rgb="FFC6C6C6"/>
      </top>
      <bottom style="medium">
        <color rgb="FFC6C6C6"/>
      </bottom>
      <diagonal/>
    </border>
  </borders>
  <cellStyleXfs count="3">
    <xf numFmtId="0" fontId="0" fillId="0" borderId="0"/>
    <xf numFmtId="9" fontId="19" fillId="0" borderId="0" applyBorder="0" applyProtection="0"/>
    <xf numFmtId="0" fontId="7" fillId="0" borderId="0" applyBorder="0" applyProtection="0"/>
  </cellStyleXfs>
  <cellXfs count="85">
    <xf numFmtId="0" fontId="0" fillId="0" borderId="0" xfId="0"/>
    <xf numFmtId="0" fontId="0" fillId="0" borderId="0" xfId="0" applyFont="1" applyAlignment="1"/>
    <xf numFmtId="0" fontId="1" fillId="0" borderId="0" xfId="0" applyFont="1"/>
    <xf numFmtId="1" fontId="1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3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4" fillId="0" borderId="0" xfId="0" applyFont="1"/>
    <xf numFmtId="164" fontId="2" fillId="0" borderId="0" xfId="0" applyNumberFormat="1" applyFont="1"/>
    <xf numFmtId="0" fontId="2" fillId="0" borderId="0" xfId="0" applyFont="1"/>
    <xf numFmtId="0" fontId="5" fillId="0" borderId="0" xfId="0" applyFont="1"/>
    <xf numFmtId="2" fontId="2" fillId="0" borderId="0" xfId="0" applyNumberFormat="1" applyFont="1" applyAlignment="1">
      <alignment horizontal="left"/>
    </xf>
    <xf numFmtId="0" fontId="7" fillId="0" borderId="0" xfId="2" applyFont="1" applyBorder="1" applyAlignment="1" applyProtection="1"/>
    <xf numFmtId="1" fontId="2" fillId="0" borderId="0" xfId="0" applyNumberFormat="1" applyFont="1" applyAlignment="1">
      <alignment horizontal="right"/>
    </xf>
    <xf numFmtId="2" fontId="2" fillId="0" borderId="0" xfId="0" applyNumberFormat="1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2" fontId="5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/>
    <xf numFmtId="1" fontId="8" fillId="0" borderId="1" xfId="0" applyNumberFormat="1" applyFont="1" applyBorder="1" applyAlignment="1">
      <alignment horizontal="right"/>
    </xf>
    <xf numFmtId="2" fontId="8" fillId="0" borderId="1" xfId="0" applyNumberFormat="1" applyFont="1" applyBorder="1" applyAlignment="1">
      <alignment horizontal="right"/>
    </xf>
    <xf numFmtId="0" fontId="8" fillId="0" borderId="0" xfId="0" applyFont="1"/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9" fillId="0" borderId="3" xfId="0" applyFont="1" applyBorder="1"/>
    <xf numFmtId="164" fontId="2" fillId="0" borderId="1" xfId="0" applyNumberFormat="1" applyFont="1" applyBorder="1" applyAlignment="1">
      <alignment horizontal="right"/>
    </xf>
    <xf numFmtId="165" fontId="2" fillId="0" borderId="0" xfId="0" applyNumberFormat="1" applyFont="1"/>
    <xf numFmtId="0" fontId="2" fillId="0" borderId="3" xfId="0" applyFont="1" applyBorder="1"/>
    <xf numFmtId="1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1" fontId="2" fillId="0" borderId="0" xfId="0" applyNumberFormat="1" applyFont="1"/>
    <xf numFmtId="166" fontId="2" fillId="0" borderId="0" xfId="0" applyNumberFormat="1" applyFont="1"/>
    <xf numFmtId="3" fontId="2" fillId="0" borderId="0" xfId="0" applyNumberFormat="1" applyFont="1"/>
    <xf numFmtId="0" fontId="10" fillId="0" borderId="0" xfId="0" applyFont="1" applyAlignment="1">
      <alignment vertical="center" wrapText="1"/>
    </xf>
    <xf numFmtId="3" fontId="2" fillId="0" borderId="1" xfId="0" applyNumberFormat="1" applyFont="1" applyBorder="1" applyAlignment="1">
      <alignment horizontal="right"/>
    </xf>
    <xf numFmtId="3" fontId="2" fillId="2" borderId="1" xfId="0" applyNumberFormat="1" applyFont="1" applyFill="1" applyBorder="1" applyAlignment="1">
      <alignment horizontal="right"/>
    </xf>
    <xf numFmtId="0" fontId="2" fillId="0" borderId="2" xfId="0" applyFont="1" applyBorder="1" applyAlignment="1">
      <alignment wrapText="1"/>
    </xf>
    <xf numFmtId="0" fontId="11" fillId="0" borderId="3" xfId="0" applyFont="1" applyBorder="1"/>
    <xf numFmtId="9" fontId="2" fillId="0" borderId="0" xfId="0" applyNumberFormat="1" applyFont="1"/>
    <xf numFmtId="3" fontId="2" fillId="3" borderId="1" xfId="0" applyNumberFormat="1" applyFont="1" applyFill="1" applyBorder="1" applyAlignment="1">
      <alignment horizontal="right"/>
    </xf>
    <xf numFmtId="2" fontId="2" fillId="0" borderId="4" xfId="0" applyNumberFormat="1" applyFont="1" applyBorder="1" applyAlignment="1">
      <alignment horizontal="right"/>
    </xf>
    <xf numFmtId="167" fontId="2" fillId="0" borderId="0" xfId="0" applyNumberFormat="1" applyFont="1"/>
    <xf numFmtId="9" fontId="2" fillId="0" borderId="0" xfId="1" applyFont="1" applyBorder="1" applyAlignment="1" applyProtection="1"/>
    <xf numFmtId="0" fontId="12" fillId="0" borderId="0" xfId="0" applyFont="1"/>
    <xf numFmtId="16" fontId="2" fillId="0" borderId="0" xfId="0" applyNumberFormat="1" applyFont="1"/>
    <xf numFmtId="166" fontId="2" fillId="0" borderId="0" xfId="0" applyNumberFormat="1" applyFont="1" applyAlignment="1">
      <alignment horizontal="right"/>
    </xf>
    <xf numFmtId="168" fontId="2" fillId="0" borderId="0" xfId="0" applyNumberFormat="1" applyFont="1"/>
    <xf numFmtId="9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5" xfId="0" applyFont="1" applyBorder="1"/>
    <xf numFmtId="1" fontId="2" fillId="0" borderId="5" xfId="0" applyNumberFormat="1" applyFont="1" applyBorder="1" applyAlignment="1">
      <alignment horizontal="right"/>
    </xf>
    <xf numFmtId="2" fontId="2" fillId="0" borderId="5" xfId="0" applyNumberFormat="1" applyFont="1" applyBorder="1" applyAlignment="1">
      <alignment horizontal="left"/>
    </xf>
    <xf numFmtId="14" fontId="2" fillId="0" borderId="0" xfId="0" applyNumberFormat="1" applyFont="1"/>
    <xf numFmtId="168" fontId="2" fillId="0" borderId="0" xfId="0" applyNumberFormat="1" applyFont="1" applyAlignment="1">
      <alignment horizontal="right"/>
    </xf>
    <xf numFmtId="14" fontId="2" fillId="0" borderId="0" xfId="0" applyNumberFormat="1" applyFont="1" applyAlignment="1"/>
    <xf numFmtId="3" fontId="2" fillId="4" borderId="1" xfId="0" applyNumberFormat="1" applyFont="1" applyFill="1" applyBorder="1" applyAlignment="1">
      <alignment horizontal="right"/>
    </xf>
    <xf numFmtId="0" fontId="15" fillId="0" borderId="0" xfId="0" applyFont="1"/>
    <xf numFmtId="0" fontId="16" fillId="0" borderId="0" xfId="0" applyFont="1" applyAlignment="1">
      <alignment wrapText="1"/>
    </xf>
    <xf numFmtId="0" fontId="10" fillId="0" borderId="0" xfId="0" applyFont="1" applyAlignment="1">
      <alignment wrapText="1"/>
    </xf>
    <xf numFmtId="1" fontId="5" fillId="0" borderId="1" xfId="0" applyNumberFormat="1" applyFont="1" applyBorder="1" applyAlignment="1">
      <alignment horizontal="right"/>
    </xf>
    <xf numFmtId="3" fontId="2" fillId="5" borderId="1" xfId="0" applyNumberFormat="1" applyFont="1" applyFill="1" applyBorder="1" applyAlignment="1">
      <alignment horizontal="right"/>
    </xf>
    <xf numFmtId="0" fontId="17" fillId="5" borderId="6" xfId="0" applyFont="1" applyFill="1" applyBorder="1" applyAlignment="1">
      <alignment horizontal="center" wrapText="1"/>
    </xf>
    <xf numFmtId="0" fontId="17" fillId="5" borderId="7" xfId="0" applyFont="1" applyFill="1" applyBorder="1" applyAlignment="1">
      <alignment horizontal="center" wrapText="1"/>
    </xf>
    <xf numFmtId="0" fontId="17" fillId="5" borderId="8" xfId="0" applyFont="1" applyFill="1" applyBorder="1" applyAlignment="1">
      <alignment horizontal="center" wrapText="1"/>
    </xf>
    <xf numFmtId="0" fontId="18" fillId="0" borderId="0" xfId="0" applyFont="1"/>
    <xf numFmtId="3" fontId="2" fillId="6" borderId="1" xfId="0" applyNumberFormat="1" applyFont="1" applyFill="1" applyBorder="1" applyAlignment="1">
      <alignment horizontal="right"/>
    </xf>
    <xf numFmtId="169" fontId="2" fillId="0" borderId="0" xfId="0" applyNumberFormat="1" applyFont="1"/>
    <xf numFmtId="3" fontId="2" fillId="7" borderId="1" xfId="0" applyNumberFormat="1" applyFont="1" applyFill="1" applyBorder="1" applyAlignment="1">
      <alignment horizontal="right"/>
    </xf>
    <xf numFmtId="1" fontId="2" fillId="0" borderId="0" xfId="0" applyNumberFormat="1" applyFont="1" applyAlignment="1">
      <alignment horizontal="left"/>
    </xf>
    <xf numFmtId="2" fontId="2" fillId="3" borderId="0" xfId="0" applyNumberFormat="1" applyFont="1" applyFill="1" applyBorder="1" applyAlignment="1">
      <alignment horizontal="left"/>
    </xf>
    <xf numFmtId="2" fontId="2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left"/>
    </xf>
    <xf numFmtId="164" fontId="5" fillId="0" borderId="0" xfId="0" applyNumberFormat="1" applyFont="1"/>
    <xf numFmtId="2" fontId="0" fillId="0" borderId="0" xfId="0" applyNumberFormat="1" applyFont="1" applyAlignment="1"/>
    <xf numFmtId="3" fontId="0" fillId="0" borderId="0" xfId="0" applyNumberFormat="1" applyFont="1" applyAlignment="1"/>
    <xf numFmtId="9" fontId="19" fillId="0" borderId="0" xfId="1"/>
    <xf numFmtId="0" fontId="20" fillId="0" borderId="2" xfId="0" applyFont="1" applyBorder="1"/>
    <xf numFmtId="3" fontId="2" fillId="0" borderId="1" xfId="0" applyNumberFormat="1" applyFont="1" applyFill="1" applyBorder="1" applyAlignment="1">
      <alignment horizontal="right"/>
    </xf>
    <xf numFmtId="1" fontId="0" fillId="0" borderId="0" xfId="0" applyNumberFormat="1" applyFont="1" applyAlignment="1"/>
    <xf numFmtId="0" fontId="10" fillId="0" borderId="0" xfId="0" applyFont="1" applyBorder="1" applyAlignment="1">
      <alignment vertical="center" wrapText="1"/>
    </xf>
    <xf numFmtId="14" fontId="2" fillId="0" borderId="0" xfId="0" applyNumberFormat="1" applyFont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CEC4DB"/>
      <rgbColor rgb="FF800080"/>
      <rgbColor rgb="FF008080"/>
      <rgbColor rgb="FFC0C0C0"/>
      <rgbColor rgb="FF8B8B8B"/>
      <rgbColor rgb="FF84A7D1"/>
      <rgbColor rgb="FFC0504D"/>
      <rgbColor rgb="FFFDE9D9"/>
      <rgbColor rgb="FFCCFFFF"/>
      <rgbColor rgb="FF660066"/>
      <rgbColor rgb="FFF9B67E"/>
      <rgbColor rgb="FF0066CC"/>
      <rgbColor rgb="FFBED1E7"/>
      <rgbColor rgb="FF000080"/>
      <rgbColor rgb="FFFF00FF"/>
      <rgbColor rgb="FFC6C6C6"/>
      <rgbColor rgb="FFB6DDE8"/>
      <rgbColor rgb="FF800080"/>
      <rgbColor rgb="FF800000"/>
      <rgbColor rgb="FF008080"/>
      <rgbColor rgb="FF0000FF"/>
      <rgbColor rgb="FF00B0F0"/>
      <rgbColor rgb="FFBFE2EB"/>
      <rgbColor rgb="FFDCE7C6"/>
      <rgbColor rgb="FFD9D9D9"/>
      <rgbColor rgb="FF81C5D7"/>
      <rgbColor rgb="FFE8BFBE"/>
      <rgbColor rgb="FFB7B7B7"/>
      <rgbColor rgb="FFF9C3A8"/>
      <rgbColor rgb="FF3366FF"/>
      <rgbColor rgb="FF4BACC6"/>
      <rgbColor rgb="FF9BBB59"/>
      <rgbColor rgb="FFFFC000"/>
      <rgbColor rgb="FFF79646"/>
      <rgbColor rgb="FFE46C0A"/>
      <rgbColor rgb="FF56575F"/>
      <rgbColor rgb="FFA693BE"/>
      <rgbColor rgb="FF002060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fi-FI" sz="1200" b="1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r>
              <a:rPr lang="fi-FI" sz="1200" b="1" strike="noStrike" spc="-1">
                <a:solidFill>
                  <a:srgbClr val="000000"/>
                </a:solidFill>
                <a:latin typeface="Arial"/>
                <a:ea typeface="Calibri"/>
              </a:rPr>
              <a:t>Sähkönkulutus isovanhemmat
(kesä-, heinä- ja elokuu normittamaton lämmittyssähkö)</a:t>
            </a:r>
          </a:p>
        </c:rich>
      </c:tx>
      <c:layout>
        <c:manualLayout>
          <c:xMode val="edge"/>
          <c:yMode val="edge"/>
          <c:x val="0.30358111774281099"/>
          <c:y val="2.0594694047124499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xMode val="edge"/>
          <c:yMode val="edge"/>
          <c:x val="5.4104332997442099E-2"/>
          <c:y val="0.113181791204226"/>
          <c:w val="0.93283466397953696"/>
          <c:h val="0.82182918867588595"/>
        </c:manualLayout>
      </c:layout>
      <c:barChart>
        <c:barDir val="col"/>
        <c:grouping val="clustered"/>
        <c:varyColors val="0"/>
        <c:ser>
          <c:idx val="0"/>
          <c:order val="0"/>
          <c:tx>
            <c:v>Ilmalämpöpumppu NZ25YKE</c:v>
          </c:tx>
          <c:spPr>
            <a:solidFill>
              <a:srgbClr val="FF000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'2025'!$D$10:$O$10</c:f>
              <c:numCache>
                <c:formatCode>#,##0</c:formatCode>
                <c:ptCount val="12"/>
                <c:pt idx="0">
                  <c:v>296</c:v>
                </c:pt>
                <c:pt idx="1">
                  <c:v>277</c:v>
                </c:pt>
                <c:pt idx="2">
                  <c:v>186</c:v>
                </c:pt>
                <c:pt idx="3">
                  <c:v>132</c:v>
                </c:pt>
                <c:pt idx="4">
                  <c:v>81</c:v>
                </c:pt>
                <c:pt idx="5">
                  <c:v>27</c:v>
                </c:pt>
                <c:pt idx="6">
                  <c:v>31</c:v>
                </c:pt>
                <c:pt idx="7">
                  <c:v>27</c:v>
                </c:pt>
                <c:pt idx="8">
                  <c:v>52</c:v>
                </c:pt>
                <c:pt idx="9">
                  <c:v>145</c:v>
                </c:pt>
                <c:pt idx="10">
                  <c:v>176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A-4D98-881B-B2591FD82FB3}"/>
            </c:ext>
          </c:extLst>
        </c:ser>
        <c:ser>
          <c:idx val="1"/>
          <c:order val="1"/>
          <c:tx>
            <c:v>Sähkö yhteensä</c:v>
          </c:tx>
          <c:spPr>
            <a:solidFill>
              <a:srgbClr val="CCFFFF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'2025'!$D$9:$O$9</c:f>
              <c:numCache>
                <c:formatCode>0</c:formatCode>
                <c:ptCount val="12"/>
                <c:pt idx="0">
                  <c:v>958.97</c:v>
                </c:pt>
                <c:pt idx="1">
                  <c:v>927.375</c:v>
                </c:pt>
                <c:pt idx="2" formatCode="#,##0">
                  <c:v>797.73199999999997</c:v>
                </c:pt>
                <c:pt idx="3" formatCode="#,##0">
                  <c:v>593.71600000000001</c:v>
                </c:pt>
                <c:pt idx="4" formatCode="#,##0">
                  <c:v>501.62799999999999</c:v>
                </c:pt>
                <c:pt idx="5" formatCode="#,##0">
                  <c:v>345.005</c:v>
                </c:pt>
                <c:pt idx="6" formatCode="#,##0">
                  <c:v>318.67899999999997</c:v>
                </c:pt>
                <c:pt idx="7" formatCode="#,##0">
                  <c:v>346.75</c:v>
                </c:pt>
                <c:pt idx="8" formatCode="#,##0">
                  <c:v>392.88499999999999</c:v>
                </c:pt>
                <c:pt idx="9" formatCode="#,##0">
                  <c:v>586.08100000000002</c:v>
                </c:pt>
                <c:pt idx="10" formatCode="#,##0">
                  <c:v>780.39099999999996</c:v>
                </c:pt>
                <c:pt idx="11" formatCode="#,##0">
                  <c:v>928.14499999999998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A-4D98-881B-B2591FD82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395095"/>
        <c:axId val="16875177"/>
      </c:barChart>
      <c:catAx>
        <c:axId val="8039509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100" b="0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endParaRPr lang="fi-FI"/>
          </a:p>
        </c:txPr>
        <c:crossAx val="16875177"/>
        <c:crosses val="autoZero"/>
        <c:auto val="1"/>
        <c:lblAlgn val="ctr"/>
        <c:lblOffset val="100"/>
        <c:noMultiLvlLbl val="0"/>
      </c:catAx>
      <c:valAx>
        <c:axId val="16875177"/>
        <c:scaling>
          <c:orientation val="minMax"/>
          <c:max val="2000"/>
        </c:scaling>
        <c:delete val="0"/>
        <c:axPos val="l"/>
        <c:majorGridlines>
          <c:spPr>
            <a:ln w="6480">
              <a:solidFill>
                <a:srgbClr val="8B8B8B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fi-FI" sz="1200" b="1" strike="noStrike" spc="-1">
                    <a:solidFill>
                      <a:srgbClr val="000000"/>
                    </a:solidFill>
                    <a:latin typeface="Arial"/>
                    <a:ea typeface="Calibri"/>
                  </a:defRPr>
                </a:pPr>
                <a:r>
                  <a:rPr lang="fi-FI" sz="1200" b="1" strike="noStrike" spc="-1">
                    <a:solidFill>
                      <a:srgbClr val="000000"/>
                    </a:solidFill>
                    <a:latin typeface="Arial"/>
                    <a:ea typeface="Calibri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1.39911634756996E-2"/>
              <c:y val="1.8932874354561102E-2"/>
            </c:manualLayout>
          </c:layout>
          <c:overlay val="0"/>
          <c:spPr>
            <a:noFill/>
            <a:ln w="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100" b="0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endParaRPr lang="fi-FI"/>
          </a:p>
        </c:txPr>
        <c:crossAx val="80395095"/>
        <c:crosses val="autoZero"/>
        <c:crossBetween val="between"/>
        <c:majorUnit val="200"/>
      </c:valAx>
      <c:spPr>
        <a:solidFill>
          <a:srgbClr val="C0C0C0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40669259041553402"/>
          <c:y val="0.13823711734525601"/>
          <c:w val="0.28294372350297903"/>
          <c:h val="0.15947618670781699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200" b="0" strike="noStrike" spc="-1">
              <a:solidFill>
                <a:srgbClr val="000000"/>
              </a:solidFill>
              <a:latin typeface="Calibri"/>
              <a:ea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fi-FI" sz="1200" b="1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r>
              <a:rPr lang="fi-FI" sz="1200" b="1" strike="noStrike" spc="-1">
                <a:solidFill>
                  <a:srgbClr val="000000"/>
                </a:solidFill>
                <a:latin typeface="Arial"/>
                <a:ea typeface="Calibri"/>
              </a:rPr>
              <a:t>Normitettu lämmityssähkön kulutus isovanhemmat
(kesä-, heinä- ja elokuu normittamaton kulutus)</a:t>
            </a:r>
          </a:p>
        </c:rich>
      </c:tx>
      <c:layout>
        <c:manualLayout>
          <c:xMode val="edge"/>
          <c:yMode val="edge"/>
          <c:x val="0.30358111774281099"/>
          <c:y val="2.0594694047124499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2979613983412105E-2"/>
          <c:y val="0.126060893821592"/>
          <c:w val="0.92395938299356595"/>
          <c:h val="0.76621757967831905"/>
        </c:manualLayout>
      </c:layout>
      <c:barChart>
        <c:barDir val="col"/>
        <c:grouping val="clustered"/>
        <c:varyColors val="0"/>
        <c:ser>
          <c:idx val="0"/>
          <c:order val="0"/>
          <c:tx>
            <c:v>Normitettu lämmityssähkö 2007</c:v>
          </c:tx>
          <c:spPr>
            <a:solidFill>
              <a:srgbClr val="FF000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'2007'!$D$16:$O$16</c:f>
              <c:numCache>
                <c:formatCode>#,##0</c:formatCode>
                <c:ptCount val="12"/>
                <c:pt idx="0">
                  <c:v>1642.8053731343284</c:v>
                </c:pt>
                <c:pt idx="1">
                  <c:v>1156.6521126760565</c:v>
                </c:pt>
                <c:pt idx="2">
                  <c:v>1142.3590618336887</c:v>
                </c:pt>
                <c:pt idx="3">
                  <c:v>670.50408719346046</c:v>
                </c:pt>
                <c:pt idx="4">
                  <c:v>298.13061224489797</c:v>
                </c:pt>
                <c:pt idx="5">
                  <c:v>63.000000000000057</c:v>
                </c:pt>
                <c:pt idx="6">
                  <c:v>0</c:v>
                </c:pt>
                <c:pt idx="7">
                  <c:v>0</c:v>
                </c:pt>
                <c:pt idx="8">
                  <c:v>269.23857868020309</c:v>
                </c:pt>
                <c:pt idx="9">
                  <c:v>628.75402298850577</c:v>
                </c:pt>
                <c:pt idx="10">
                  <c:v>1020.6871609403255</c:v>
                </c:pt>
                <c:pt idx="11">
                  <c:v>1420.6646502835538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47-46C7-9609-79980D74D944}"/>
            </c:ext>
          </c:extLst>
        </c:ser>
        <c:ser>
          <c:idx val="1"/>
          <c:order val="1"/>
          <c:tx>
            <c:v>Normitettu lämmityssähkö 2008</c:v>
          </c:tx>
          <c:spPr>
            <a:solidFill>
              <a:srgbClr val="00FF0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'2008'!$D$17:$O$17</c:f>
              <c:numCache>
                <c:formatCode>#,##0</c:formatCode>
                <c:ptCount val="12"/>
                <c:pt idx="0">
                  <c:v>1913.5100806451615</c:v>
                </c:pt>
                <c:pt idx="1">
                  <c:v>1310.6352833638025</c:v>
                </c:pt>
                <c:pt idx="2">
                  <c:v>1186.3672131147541</c:v>
                </c:pt>
                <c:pt idx="3">
                  <c:v>724.23469387755108</c:v>
                </c:pt>
                <c:pt idx="4">
                  <c:v>278.30921052631578</c:v>
                </c:pt>
                <c:pt idx="5">
                  <c:v>112.5</c:v>
                </c:pt>
                <c:pt idx="6">
                  <c:v>3</c:v>
                </c:pt>
                <c:pt idx="7">
                  <c:v>57.75</c:v>
                </c:pt>
                <c:pt idx="8">
                  <c:v>182.50224215246635</c:v>
                </c:pt>
                <c:pt idx="9">
                  <c:v>363.15673981191219</c:v>
                </c:pt>
                <c:pt idx="10">
                  <c:v>634.13080168776378</c:v>
                </c:pt>
                <c:pt idx="11">
                  <c:v>888.300259965338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47-46C7-9609-79980D74D944}"/>
            </c:ext>
          </c:extLst>
        </c:ser>
        <c:ser>
          <c:idx val="2"/>
          <c:order val="2"/>
          <c:tx>
            <c:v>Normitettu lämmityssähkö 2009</c:v>
          </c:tx>
          <c:spPr>
            <a:solidFill>
              <a:srgbClr val="FFFF00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'2009'!$D$17:$O$17</c:f>
              <c:numCache>
                <c:formatCode>#,##0</c:formatCode>
                <c:ptCount val="12"/>
                <c:pt idx="0">
                  <c:v>1138.0133991537377</c:v>
                </c:pt>
                <c:pt idx="1">
                  <c:v>950.62500000000011</c:v>
                </c:pt>
                <c:pt idx="2">
                  <c:v>768.74754098360654</c:v>
                </c:pt>
                <c:pt idx="3">
                  <c:v>477.99511002444984</c:v>
                </c:pt>
                <c:pt idx="4">
                  <c:v>227.69417475728153</c:v>
                </c:pt>
                <c:pt idx="5">
                  <c:v>74</c:v>
                </c:pt>
                <c:pt idx="6">
                  <c:v>5</c:v>
                </c:pt>
                <c:pt idx="7">
                  <c:v>22</c:v>
                </c:pt>
                <c:pt idx="8">
                  <c:v>165.64102564102564</c:v>
                </c:pt>
                <c:pt idx="9">
                  <c:v>393.02173913043481</c:v>
                </c:pt>
                <c:pt idx="10">
                  <c:v>546.88391038696534</c:v>
                </c:pt>
                <c:pt idx="11">
                  <c:v>1128.9320795503675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47-46C7-9609-79980D74D944}"/>
            </c:ext>
          </c:extLst>
        </c:ser>
        <c:ser>
          <c:idx val="3"/>
          <c:order val="3"/>
          <c:tx>
            <c:v>Normitettu lämmityssähkö 2010</c:v>
          </c:tx>
          <c:spPr>
            <a:solidFill>
              <a:srgbClr val="CCFFFF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'2010'!$D$17:$O$17</c:f>
              <c:numCache>
                <c:formatCode>#,##0</c:formatCode>
                <c:ptCount val="12"/>
                <c:pt idx="0">
                  <c:v>1360.0440000000001</c:v>
                </c:pt>
                <c:pt idx="1">
                  <c:v>1114.8880308880309</c:v>
                </c:pt>
                <c:pt idx="2">
                  <c:v>864.74074074074065</c:v>
                </c:pt>
                <c:pt idx="3">
                  <c:v>437.33509234828495</c:v>
                </c:pt>
                <c:pt idx="4">
                  <c:v>227.91780821917808</c:v>
                </c:pt>
                <c:pt idx="5">
                  <c:v>88</c:v>
                </c:pt>
                <c:pt idx="6">
                  <c:v>0</c:v>
                </c:pt>
                <c:pt idx="7">
                  <c:v>0</c:v>
                </c:pt>
                <c:pt idx="8">
                  <c:v>165.58441558441558</c:v>
                </c:pt>
                <c:pt idx="9">
                  <c:v>334.17283950617286</c:v>
                </c:pt>
                <c:pt idx="10">
                  <c:v>762.51623931623931</c:v>
                </c:pt>
                <c:pt idx="11">
                  <c:v>1091.9031180400891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347-46C7-9609-79980D74D944}"/>
            </c:ext>
          </c:extLst>
        </c:ser>
        <c:ser>
          <c:idx val="4"/>
          <c:order val="4"/>
          <c:tx>
            <c:v>Normitettu lämmityssähkö 2011</c:v>
          </c:tx>
          <c:spPr>
            <a:solidFill>
              <a:srgbClr val="4BACC6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'2011'!$D$17:$O$17</c:f>
              <c:numCache>
                <c:formatCode>#,##0</c:formatCode>
                <c:ptCount val="12"/>
                <c:pt idx="0">
                  <c:v>1143.108947368421</c:v>
                </c:pt>
                <c:pt idx="1">
                  <c:v>1068.0428571428572</c:v>
                </c:pt>
                <c:pt idx="2">
                  <c:v>815.87491856677525</c:v>
                </c:pt>
                <c:pt idx="3">
                  <c:v>342.01183431952666</c:v>
                </c:pt>
                <c:pt idx="4">
                  <c:v>181.83884892086334</c:v>
                </c:pt>
                <c:pt idx="5">
                  <c:v>20</c:v>
                </c:pt>
                <c:pt idx="6">
                  <c:v>0</c:v>
                </c:pt>
                <c:pt idx="7">
                  <c:v>60</c:v>
                </c:pt>
                <c:pt idx="8">
                  <c:v>226.41758241758242</c:v>
                </c:pt>
                <c:pt idx="9">
                  <c:v>309.12672672672676</c:v>
                </c:pt>
                <c:pt idx="10">
                  <c:v>507.96742433450828</c:v>
                </c:pt>
                <c:pt idx="11">
                  <c:v>921.06074950690333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347-46C7-9609-79980D74D944}"/>
            </c:ext>
          </c:extLst>
        </c:ser>
        <c:ser>
          <c:idx val="5"/>
          <c:order val="5"/>
          <c:tx>
            <c:v>Normitettu lämmityssähkö 2012</c:v>
          </c:tx>
          <c:spPr>
            <a:solidFill>
              <a:srgbClr val="F79646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'2012'!$D$17:$O$17</c:f>
              <c:numCache>
                <c:formatCode>#,##0</c:formatCode>
                <c:ptCount val="12"/>
                <c:pt idx="0">
                  <c:v>964.33572931276296</c:v>
                </c:pt>
                <c:pt idx="1">
                  <c:v>1051.7129387113673</c:v>
                </c:pt>
                <c:pt idx="2">
                  <c:v>625.68105964229585</c:v>
                </c:pt>
                <c:pt idx="3">
                  <c:v>293.94446733978981</c:v>
                </c:pt>
                <c:pt idx="4">
                  <c:v>72.504491555874907</c:v>
                </c:pt>
                <c:pt idx="5">
                  <c:v>20</c:v>
                </c:pt>
                <c:pt idx="6">
                  <c:v>0</c:v>
                </c:pt>
                <c:pt idx="7">
                  <c:v>60</c:v>
                </c:pt>
                <c:pt idx="8">
                  <c:v>66.060982495765117</c:v>
                </c:pt>
                <c:pt idx="9">
                  <c:v>271.32557876905696</c:v>
                </c:pt>
                <c:pt idx="10">
                  <c:v>515.88881585125364</c:v>
                </c:pt>
                <c:pt idx="11">
                  <c:v>1185.7470875806114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347-46C7-9609-79980D74D944}"/>
            </c:ext>
          </c:extLst>
        </c:ser>
        <c:ser>
          <c:idx val="6"/>
          <c:order val="6"/>
          <c:tx>
            <c:v>Normitettu lämmityssähkö 2013</c:v>
          </c:tx>
          <c:spPr>
            <a:solidFill>
              <a:srgbClr val="BED1E7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'2013'!$D$17:$O$17</c:f>
              <c:numCache>
                <c:formatCode>#,##0</c:formatCode>
                <c:ptCount val="12"/>
                <c:pt idx="0">
                  <c:v>1212.0702639751551</c:v>
                </c:pt>
                <c:pt idx="1">
                  <c:v>848.30472199356439</c:v>
                </c:pt>
                <c:pt idx="2">
                  <c:v>883.72106154714845</c:v>
                </c:pt>
                <c:pt idx="3">
                  <c:v>555.56406265689327</c:v>
                </c:pt>
                <c:pt idx="4">
                  <c:v>222.60275135869568</c:v>
                </c:pt>
                <c:pt idx="5">
                  <c:v>20</c:v>
                </c:pt>
                <c:pt idx="6">
                  <c:v>0</c:v>
                </c:pt>
                <c:pt idx="7">
                  <c:v>60</c:v>
                </c:pt>
                <c:pt idx="8">
                  <c:v>242.29619565217396</c:v>
                </c:pt>
                <c:pt idx="9">
                  <c:v>397.63888198757769</c:v>
                </c:pt>
                <c:pt idx="10">
                  <c:v>673.81798418972323</c:v>
                </c:pt>
                <c:pt idx="11">
                  <c:v>924.96816844812349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347-46C7-9609-79980D74D944}"/>
            </c:ext>
          </c:extLst>
        </c:ser>
        <c:ser>
          <c:idx val="7"/>
          <c:order val="7"/>
          <c:tx>
            <c:v>Normitettu lämmityssähkö 2014</c:v>
          </c:tx>
          <c:spPr>
            <a:solidFill>
              <a:srgbClr val="E8BFBE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'2014'!$D$17:$O$17</c:f>
              <c:numCache>
                <c:formatCode>#,##0</c:formatCode>
                <c:ptCount val="12"/>
                <c:pt idx="0">
                  <c:v>1172.2025547445255</c:v>
                </c:pt>
                <c:pt idx="1">
                  <c:v>979.95728155339805</c:v>
                </c:pt>
                <c:pt idx="2">
                  <c:v>826.97524752475249</c:v>
                </c:pt>
                <c:pt idx="3">
                  <c:v>604.5</c:v>
                </c:pt>
                <c:pt idx="4">
                  <c:v>275.97715736040607</c:v>
                </c:pt>
                <c:pt idx="5">
                  <c:v>20</c:v>
                </c:pt>
                <c:pt idx="6">
                  <c:v>0</c:v>
                </c:pt>
                <c:pt idx="7">
                  <c:v>60</c:v>
                </c:pt>
                <c:pt idx="8">
                  <c:v>54.877192982456137</c:v>
                </c:pt>
                <c:pt idx="9">
                  <c:v>392.17980295566502</c:v>
                </c:pt>
                <c:pt idx="10">
                  <c:v>629.83030303030307</c:v>
                </c:pt>
                <c:pt idx="11">
                  <c:v>943.79207920792078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347-46C7-9609-79980D74D944}"/>
            </c:ext>
          </c:extLst>
        </c:ser>
        <c:ser>
          <c:idx val="8"/>
          <c:order val="8"/>
          <c:tx>
            <c:v>Normitettu lämmityssähkö 2015</c:v>
          </c:tx>
          <c:spPr>
            <a:solidFill>
              <a:srgbClr val="DCE7C6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'2015'!$D$17:$O$17</c:f>
              <c:numCache>
                <c:formatCode>#,##0</c:formatCode>
                <c:ptCount val="12"/>
                <c:pt idx="0">
                  <c:v>1069.2328041543026</c:v>
                </c:pt>
                <c:pt idx="1">
                  <c:v>900.93629770992379</c:v>
                </c:pt>
                <c:pt idx="2">
                  <c:v>614.90067326732662</c:v>
                </c:pt>
                <c:pt idx="3">
                  <c:v>426.94110824742268</c:v>
                </c:pt>
                <c:pt idx="4">
                  <c:v>134.51086956521738</c:v>
                </c:pt>
                <c:pt idx="5">
                  <c:v>78</c:v>
                </c:pt>
                <c:pt idx="6">
                  <c:v>40</c:v>
                </c:pt>
                <c:pt idx="7">
                  <c:v>30</c:v>
                </c:pt>
                <c:pt idx="8">
                  <c:v>0</c:v>
                </c:pt>
                <c:pt idx="9">
                  <c:v>379.56666666666666</c:v>
                </c:pt>
                <c:pt idx="10">
                  <c:v>610.60788863109053</c:v>
                </c:pt>
                <c:pt idx="11">
                  <c:v>974.96633663366345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347-46C7-9609-79980D74D944}"/>
            </c:ext>
          </c:extLst>
        </c:ser>
        <c:ser>
          <c:idx val="9"/>
          <c:order val="9"/>
          <c:tx>
            <c:v>Normitettu lämmityssähkö 2016</c:v>
          </c:tx>
          <c:spPr>
            <a:solidFill>
              <a:srgbClr val="CEC4DB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'2016'!$D$17:$O$17</c:f>
              <c:numCache>
                <c:formatCode>#,##0</c:formatCode>
                <c:ptCount val="12"/>
                <c:pt idx="0">
                  <c:v>1221.1753869969041</c:v>
                </c:pt>
                <c:pt idx="1">
                  <c:v>896.31554347826079</c:v>
                </c:pt>
                <c:pt idx="2">
                  <c:v>683.98556149732633</c:v>
                </c:pt>
                <c:pt idx="3">
                  <c:v>306.14066489361704</c:v>
                </c:pt>
                <c:pt idx="4">
                  <c:v>81</c:v>
                </c:pt>
                <c:pt idx="5">
                  <c:v>78</c:v>
                </c:pt>
                <c:pt idx="6">
                  <c:v>40</c:v>
                </c:pt>
                <c:pt idx="7">
                  <c:v>30</c:v>
                </c:pt>
                <c:pt idx="8">
                  <c:v>136.89599999999999</c:v>
                </c:pt>
                <c:pt idx="9">
                  <c:v>347.4</c:v>
                </c:pt>
                <c:pt idx="10">
                  <c:v>730.81443298969077</c:v>
                </c:pt>
                <c:pt idx="11">
                  <c:v>967.5500821018062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347-46C7-9609-79980D74D944}"/>
            </c:ext>
          </c:extLst>
        </c:ser>
        <c:ser>
          <c:idx val="10"/>
          <c:order val="10"/>
          <c:tx>
            <c:v>Normitettu lämmityssähkö 2017</c:v>
          </c:tx>
          <c:spPr>
            <a:solidFill>
              <a:srgbClr val="BFE2EB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'2017'!$D$15:$O$15</c:f>
              <c:numCache>
                <c:formatCode>#,##0</c:formatCode>
                <c:ptCount val="12"/>
                <c:pt idx="0">
                  <c:v>1178.3446805349181</c:v>
                </c:pt>
                <c:pt idx="1">
                  <c:v>1027.0640000000001</c:v>
                </c:pt>
                <c:pt idx="2">
                  <c:v>623.62686456400741</c:v>
                </c:pt>
                <c:pt idx="3">
                  <c:v>379.73054393305438</c:v>
                </c:pt>
                <c:pt idx="4">
                  <c:v>74.25</c:v>
                </c:pt>
                <c:pt idx="5">
                  <c:v>50</c:v>
                </c:pt>
                <c:pt idx="6">
                  <c:v>35.799999999999997</c:v>
                </c:pt>
                <c:pt idx="7">
                  <c:v>49</c:v>
                </c:pt>
                <c:pt idx="8">
                  <c:v>145.4111111111111</c:v>
                </c:pt>
                <c:pt idx="9">
                  <c:v>381.89631313131309</c:v>
                </c:pt>
                <c:pt idx="10">
                  <c:v>530.12245398773007</c:v>
                </c:pt>
                <c:pt idx="11">
                  <c:v>886.45074410163318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347-46C7-9609-79980D74D944}"/>
            </c:ext>
          </c:extLst>
        </c:ser>
        <c:ser>
          <c:idx val="11"/>
          <c:order val="11"/>
          <c:tx>
            <c:v>Normitettu lämmityssähkö 2018</c:v>
          </c:tx>
          <c:spPr>
            <a:solidFill>
              <a:srgbClr val="FDE9D9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'2018'!$D$15:$O$15</c:f>
              <c:numCache>
                <c:formatCode>#,##0</c:formatCode>
                <c:ptCount val="12"/>
                <c:pt idx="0">
                  <c:v>1088.7763554216867</c:v>
                </c:pt>
                <c:pt idx="1">
                  <c:v>1180.8403162055336</c:v>
                </c:pt>
                <c:pt idx="2">
                  <c:v>803.74406639004144</c:v>
                </c:pt>
                <c:pt idx="3">
                  <c:v>375.63448275862066</c:v>
                </c:pt>
                <c:pt idx="4">
                  <c:v>149.30744680851055</c:v>
                </c:pt>
                <c:pt idx="5">
                  <c:v>35</c:v>
                </c:pt>
                <c:pt idx="6">
                  <c:v>55</c:v>
                </c:pt>
                <c:pt idx="7">
                  <c:v>10</c:v>
                </c:pt>
                <c:pt idx="8">
                  <c:v>95.182702702702727</c:v>
                </c:pt>
                <c:pt idx="9">
                  <c:v>368.51452991452993</c:v>
                </c:pt>
                <c:pt idx="10">
                  <c:v>542.03671052631591</c:v>
                </c:pt>
                <c:pt idx="11">
                  <c:v>897.34552036199102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47-46C7-9609-79980D74D944}"/>
            </c:ext>
          </c:extLst>
        </c:ser>
        <c:ser>
          <c:idx val="12"/>
          <c:order val="12"/>
          <c:tx>
            <c:v>Normitettu lämmityssähkö 2019</c:v>
          </c:tx>
          <c:spPr>
            <a:solidFill>
              <a:srgbClr val="4BACC6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'2019'!$D$15:$O$15</c:f>
              <c:numCache>
                <c:formatCode>#,##0</c:formatCode>
                <c:ptCount val="12"/>
                <c:pt idx="0">
                  <c:v>1284.1397218710492</c:v>
                </c:pt>
                <c:pt idx="1">
                  <c:v>1044.781635338346</c:v>
                </c:pt>
                <c:pt idx="2">
                  <c:v>688.57687499999997</c:v>
                </c:pt>
                <c:pt idx="3">
                  <c:v>365.15520000000004</c:v>
                </c:pt>
                <c:pt idx="4">
                  <c:v>154.57844827586206</c:v>
                </c:pt>
                <c:pt idx="5">
                  <c:v>40</c:v>
                </c:pt>
                <c:pt idx="6">
                  <c:v>45</c:v>
                </c:pt>
                <c:pt idx="7">
                  <c:v>40</c:v>
                </c:pt>
                <c:pt idx="8">
                  <c:v>106.97090909090907</c:v>
                </c:pt>
                <c:pt idx="9">
                  <c:v>318.36077858880782</c:v>
                </c:pt>
                <c:pt idx="10">
                  <c:v>535.97187250996012</c:v>
                </c:pt>
                <c:pt idx="11">
                  <c:v>777.66437735849058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347-46C7-9609-79980D74D944}"/>
            </c:ext>
          </c:extLst>
        </c:ser>
        <c:ser>
          <c:idx val="13"/>
          <c:order val="13"/>
          <c:tx>
            <c:v>Normitettu lämmityssähkö 2020</c:v>
          </c:tx>
          <c:spPr>
            <a:solidFill>
              <a:srgbClr val="FFFFFF"/>
            </a:solidFill>
            <a:ln w="0"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'2020'!$D$15:$O$15</c:f>
              <c:numCache>
                <c:formatCode>#,##0</c:formatCode>
                <c:ptCount val="12"/>
                <c:pt idx="0">
                  <c:v>978.40294676806081</c:v>
                </c:pt>
                <c:pt idx="1">
                  <c:v>999.5170454545455</c:v>
                </c:pt>
                <c:pt idx="2">
                  <c:v>685.53529411764703</c:v>
                </c:pt>
                <c:pt idx="3">
                  <c:v>336.15165876777252</c:v>
                </c:pt>
                <c:pt idx="4">
                  <c:v>133.42322274881516</c:v>
                </c:pt>
                <c:pt idx="5">
                  <c:v>40</c:v>
                </c:pt>
                <c:pt idx="6">
                  <c:v>60</c:v>
                </c:pt>
                <c:pt idx="7">
                  <c:v>30</c:v>
                </c:pt>
                <c:pt idx="8">
                  <c:v>300.33306122448977</c:v>
                </c:pt>
                <c:pt idx="9">
                  <c:v>414.93023890784991</c:v>
                </c:pt>
                <c:pt idx="10">
                  <c:v>618.89667436489594</c:v>
                </c:pt>
                <c:pt idx="11">
                  <c:v>1064.8829319371728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347-46C7-9609-79980D74D944}"/>
            </c:ext>
          </c:extLst>
        </c:ser>
        <c:ser>
          <c:idx val="14"/>
          <c:order val="14"/>
          <c:tx>
            <c:v>Normitettu lämmityssähkö 2021</c:v>
          </c:tx>
          <c:spPr>
            <a:solidFill>
              <a:srgbClr val="00B0F0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('2021'!$D$15:$H$15,'2021'!$L$15,'2021'!$L$15,'2021'!$L$15,'2021'!$L$15:$O$15)</c:f>
              <c:numCache>
                <c:formatCode>#,##0</c:formatCode>
                <c:ptCount val="12"/>
                <c:pt idx="0">
                  <c:v>1089.9197179125526</c:v>
                </c:pt>
                <c:pt idx="1">
                  <c:v>1167.6410732984293</c:v>
                </c:pt>
                <c:pt idx="2">
                  <c:v>846.09712871287115</c:v>
                </c:pt>
                <c:pt idx="3">
                  <c:v>506.4705037783375</c:v>
                </c:pt>
                <c:pt idx="4">
                  <c:v>181.80555555555551</c:v>
                </c:pt>
                <c:pt idx="5">
                  <c:v>108.8239344262295</c:v>
                </c:pt>
                <c:pt idx="6">
                  <c:v>108.8239344262295</c:v>
                </c:pt>
                <c:pt idx="7">
                  <c:v>108.8239344262295</c:v>
                </c:pt>
                <c:pt idx="8">
                  <c:v>108.8239344262295</c:v>
                </c:pt>
                <c:pt idx="9">
                  <c:v>299.94904458598717</c:v>
                </c:pt>
                <c:pt idx="10">
                  <c:v>599.21280487804893</c:v>
                </c:pt>
                <c:pt idx="11">
                  <c:v>1183.6914856429462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347-46C7-9609-79980D74D944}"/>
            </c:ext>
          </c:extLst>
        </c:ser>
        <c:ser>
          <c:idx val="15"/>
          <c:order val="15"/>
          <c:tx>
            <c:v>Normitettu lämmityssähkö 2022</c:v>
          </c:tx>
          <c:spPr>
            <a:solidFill>
              <a:srgbClr val="00B050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'2022'!$D$15:$O$15</c:f>
              <c:numCache>
                <c:formatCode>#,##0</c:formatCode>
                <c:ptCount val="12"/>
                <c:pt idx="0">
                  <c:v>1213.7060571428569</c:v>
                </c:pt>
                <c:pt idx="1">
                  <c:v>970.68770833333349</c:v>
                </c:pt>
                <c:pt idx="2">
                  <c:v>816.6864424778762</c:v>
                </c:pt>
                <c:pt idx="3">
                  <c:v>399.98918793503475</c:v>
                </c:pt>
                <c:pt idx="4">
                  <c:v>145.89319526627219</c:v>
                </c:pt>
                <c:pt idx="5">
                  <c:v>0</c:v>
                </c:pt>
                <c:pt idx="6">
                  <c:v>20</c:v>
                </c:pt>
                <c:pt idx="7">
                  <c:v>25</c:v>
                </c:pt>
                <c:pt idx="8">
                  <c:v>115.4522033898305</c:v>
                </c:pt>
                <c:pt idx="9">
                  <c:v>317.97770392749243</c:v>
                </c:pt>
                <c:pt idx="10">
                  <c:v>588.05854545454542</c:v>
                </c:pt>
                <c:pt idx="11">
                  <c:v>1033.1941417322832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347-46C7-9609-79980D74D944}"/>
            </c:ext>
          </c:extLst>
        </c:ser>
        <c:ser>
          <c:idx val="16"/>
          <c:order val="16"/>
          <c:tx>
            <c:v>Normitettu lämmityssähkö 2023</c:v>
          </c:tx>
          <c:spPr>
            <a:solidFill>
              <a:srgbClr val="002060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'2023'!$D$15:$O$15</c:f>
              <c:numCache>
                <c:formatCode>#,##0</c:formatCode>
                <c:ptCount val="12"/>
                <c:pt idx="0">
                  <c:v>1084.4572784810127</c:v>
                </c:pt>
                <c:pt idx="1">
                  <c:v>961.125</c:v>
                </c:pt>
                <c:pt idx="2">
                  <c:v>752.42326332794823</c:v>
                </c:pt>
                <c:pt idx="3">
                  <c:v>377.70184971098263</c:v>
                </c:pt>
                <c:pt idx="4">
                  <c:v>141.69713114754097</c:v>
                </c:pt>
                <c:pt idx="5">
                  <c:v>0</c:v>
                </c:pt>
                <c:pt idx="6">
                  <c:v>30</c:v>
                </c:pt>
                <c:pt idx="7">
                  <c:v>30</c:v>
                </c:pt>
                <c:pt idx="8">
                  <c:v>99.359999999999843</c:v>
                </c:pt>
                <c:pt idx="9">
                  <c:v>299.54853828306267</c:v>
                </c:pt>
                <c:pt idx="10">
                  <c:v>688.99219081272088</c:v>
                </c:pt>
                <c:pt idx="11">
                  <c:v>735.47585464333781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347-46C7-9609-79980D74D944}"/>
            </c:ext>
          </c:extLst>
        </c:ser>
        <c:ser>
          <c:idx val="17"/>
          <c:order val="17"/>
          <c:tx>
            <c:v>Normitettu lämmityssähkö 2024</c:v>
          </c:tx>
          <c:spPr>
            <a:solidFill>
              <a:srgbClr val="F9C3A8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'2007'!$D$6:$O$6</c:f>
              <c:strCache>
                <c:ptCount val="12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Kesä</c:v>
                </c:pt>
                <c:pt idx="6">
                  <c:v>Heinä</c:v>
                </c:pt>
                <c:pt idx="7">
                  <c:v>Elo</c:v>
                </c:pt>
                <c:pt idx="8">
                  <c:v>Syys</c:v>
                </c:pt>
                <c:pt idx="9">
                  <c:v>Loka</c:v>
                </c:pt>
                <c:pt idx="10">
                  <c:v>Marras</c:v>
                </c:pt>
                <c:pt idx="11">
                  <c:v>Joulu</c:v>
                </c:pt>
              </c:strCache>
            </c:strRef>
          </c:cat>
          <c:val>
            <c:numRef>
              <c:f>'2024'!$D$15:$O$15</c:f>
              <c:numCache>
                <c:formatCode>#,##0</c:formatCode>
                <c:ptCount val="12"/>
                <c:pt idx="0">
                  <c:v>829.36679072532706</c:v>
                </c:pt>
                <c:pt idx="1">
                  <c:v>755.29385909090911</c:v>
                </c:pt>
                <c:pt idx="2">
                  <c:v>556.43146551724146</c:v>
                </c:pt>
                <c:pt idx="3">
                  <c:v>350.18558454106284</c:v>
                </c:pt>
                <c:pt idx="4">
                  <c:v>175.81967213114754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240.61538461538461</c:v>
                </c:pt>
                <c:pt idx="9">
                  <c:v>349.58490566037733</c:v>
                </c:pt>
                <c:pt idx="10">
                  <c:v>506.51138689217765</c:v>
                </c:pt>
                <c:pt idx="11">
                  <c:v>820.96634437086107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347-46C7-9609-79980D74D944}"/>
            </c:ext>
          </c:extLst>
        </c:ser>
        <c:ser>
          <c:idx val="18"/>
          <c:order val="18"/>
          <c:tx>
            <c:v>Normitettu lämmityssähkö 2025</c:v>
          </c:tx>
          <c:spPr>
            <a:solidFill>
              <a:schemeClr val="accent6">
                <a:lumMod val="50000"/>
              </a:schemeClr>
            </a:solidFill>
          </c:spPr>
          <c:invertIfNegative val="0"/>
          <c:val>
            <c:numRef>
              <c:f>'2025'!$D$15:$O$15</c:f>
              <c:numCache>
                <c:formatCode>#,##0</c:formatCode>
                <c:ptCount val="12"/>
                <c:pt idx="0">
                  <c:v>806.932368</c:v>
                </c:pt>
                <c:pt idx="1">
                  <c:v>759.11514778325125</c:v>
                </c:pt>
                <c:pt idx="2">
                  <c:v>623.76661077844301</c:v>
                </c:pt>
                <c:pt idx="3">
                  <c:v>365.91925882352945</c:v>
                </c:pt>
                <c:pt idx="4">
                  <c:v>153.62068965517241</c:v>
                </c:pt>
                <c:pt idx="5">
                  <c:v>27</c:v>
                </c:pt>
                <c:pt idx="6">
                  <c:v>0</c:v>
                </c:pt>
                <c:pt idx="7">
                  <c:v>0</c:v>
                </c:pt>
                <c:pt idx="8">
                  <c:v>242.22784810126581</c:v>
                </c:pt>
                <c:pt idx="9">
                  <c:v>325.40697674418607</c:v>
                </c:pt>
                <c:pt idx="10">
                  <c:v>605.10846979865767</c:v>
                </c:pt>
                <c:pt idx="11">
                  <c:v>813.51083487940627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9D-4CEE-98A4-677C751E50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412317"/>
        <c:axId val="91802475"/>
      </c:barChart>
      <c:catAx>
        <c:axId val="7241231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100" b="0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endParaRPr lang="fi-FI"/>
          </a:p>
        </c:txPr>
        <c:crossAx val="91802475"/>
        <c:crosses val="autoZero"/>
        <c:auto val="1"/>
        <c:lblAlgn val="ctr"/>
        <c:lblOffset val="100"/>
        <c:noMultiLvlLbl val="0"/>
      </c:catAx>
      <c:valAx>
        <c:axId val="91802475"/>
        <c:scaling>
          <c:orientation val="minMax"/>
          <c:max val="2000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fi-FI" sz="1200" b="1" strike="noStrike" spc="-1">
                    <a:solidFill>
                      <a:srgbClr val="000000"/>
                    </a:solidFill>
                    <a:latin typeface="Arial"/>
                    <a:ea typeface="Calibri"/>
                  </a:defRPr>
                </a:pPr>
                <a:r>
                  <a:rPr lang="fi-FI" sz="1200" b="1" strike="noStrike" spc="-1">
                    <a:solidFill>
                      <a:srgbClr val="000000"/>
                    </a:solidFill>
                    <a:latin typeface="Arial"/>
                    <a:ea typeface="Calibri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1.39911634756996E-2"/>
              <c:y val="1.8932874354561102E-2"/>
            </c:manualLayout>
          </c:layout>
          <c:overlay val="0"/>
          <c:spPr>
            <a:noFill/>
            <a:ln w="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100" b="0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endParaRPr lang="fi-FI"/>
          </a:p>
        </c:txPr>
        <c:crossAx val="72412317"/>
        <c:crosses val="autoZero"/>
        <c:crossBetween val="between"/>
        <c:majorUnit val="200"/>
      </c:valAx>
      <c:spPr>
        <a:solidFill>
          <a:srgbClr val="C0C0C0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32473543350149298"/>
          <c:y val="0.12349328664319"/>
          <c:w val="0.46877081560915129"/>
          <c:h val="0.55080968098920857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Arial"/>
              <a:ea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fi-FI" sz="1400" b="1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r>
              <a:rPr lang="fi-FI" sz="1400" b="1" strike="noStrike" spc="-1">
                <a:solidFill>
                  <a:srgbClr val="000000"/>
                </a:solidFill>
                <a:latin typeface="Arial"/>
                <a:ea typeface="Calibri"/>
              </a:rPr>
              <a:t>jantin isovanhemmat omakotitalo Imatralla</a:t>
            </a:r>
          </a:p>
        </c:rich>
      </c:tx>
      <c:layout>
        <c:manualLayout>
          <c:xMode val="edge"/>
          <c:yMode val="edge"/>
          <c:x val="0.29579102395163198"/>
          <c:y val="2.0416641937206999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xMode val="edge"/>
          <c:yMode val="edge"/>
          <c:x val="8.0652662584295806E-2"/>
          <c:y val="0.13359843314143299"/>
          <c:w val="0.83656305712735501"/>
          <c:h val="0.79031396522048802"/>
        </c:manualLayout>
      </c:layout>
      <c:lineChart>
        <c:grouping val="standard"/>
        <c:varyColors val="0"/>
        <c:ser>
          <c:idx val="0"/>
          <c:order val="0"/>
          <c:tx>
            <c:v>2007</c:v>
          </c:tx>
          <c:spPr>
            <a:ln w="9360">
              <a:solidFill>
                <a:srgbClr val="00FFFF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('2009'!$D$34:$H$34,'2009'!$L$34:$O$34)</c:f>
              <c:numCache>
                <c:formatCode>0.00</c:formatCode>
                <c:ptCount val="9"/>
                <c:pt idx="0">
                  <c:v>5.3247567351939713</c:v>
                </c:pt>
                <c:pt idx="1">
                  <c:v>4.8851611351611348</c:v>
                </c:pt>
                <c:pt idx="2">
                  <c:v>4.4443261656376416</c:v>
                </c:pt>
                <c:pt idx="3">
                  <c:v>4.0573390206642044</c:v>
                </c:pt>
                <c:pt idx="4">
                  <c:v>4.6407206601381361</c:v>
                </c:pt>
                <c:pt idx="5">
                  <c:v>2.9291695958362629</c:v>
                </c:pt>
                <c:pt idx="6">
                  <c:v>3.5094736181692703</c:v>
                </c:pt>
                <c:pt idx="7">
                  <c:v>3.6001563496471847</c:v>
                </c:pt>
                <c:pt idx="8">
                  <c:v>5.8938155565911723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7B0-4F8F-93AD-F264F3D562C3}"/>
            </c:ext>
          </c:extLst>
        </c:ser>
        <c:ser>
          <c:idx val="1"/>
          <c:order val="1"/>
          <c:tx>
            <c:v>2008</c:v>
          </c:tx>
          <c:spPr>
            <a:ln w="9360">
              <a:solidFill>
                <a:srgbClr val="FFFF00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('2008'!$D$34:$H$34,'2008'!$L$34:$O$34)</c:f>
              <c:numCache>
                <c:formatCode>0.00</c:formatCode>
                <c:ptCount val="9"/>
                <c:pt idx="0">
                  <c:v>8.9533002839454454</c:v>
                </c:pt>
                <c:pt idx="1">
                  <c:v>6.7352158302798157</c:v>
                </c:pt>
                <c:pt idx="2">
                  <c:v>6.8586923095119827</c:v>
                </c:pt>
                <c:pt idx="3">
                  <c:v>6.1474806372765558</c:v>
                </c:pt>
                <c:pt idx="4">
                  <c:v>5.6723247512721207</c:v>
                </c:pt>
                <c:pt idx="5">
                  <c:v>3.2273406712868598</c:v>
                </c:pt>
                <c:pt idx="6">
                  <c:v>3.242795170694857</c:v>
                </c:pt>
                <c:pt idx="7">
                  <c:v>4.1745057567842379</c:v>
                </c:pt>
                <c:pt idx="8">
                  <c:v>4.6375490482942832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7B0-4F8F-93AD-F264F3D562C3}"/>
            </c:ext>
          </c:extLst>
        </c:ser>
        <c:ser>
          <c:idx val="2"/>
          <c:order val="2"/>
          <c:tx>
            <c:v>2009</c:v>
          </c:tx>
          <c:spPr>
            <a:ln w="9360">
              <a:solidFill>
                <a:srgbClr val="FF00FF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('2009'!$D$34:$H$34,'2009'!$L$34:$O$34)</c:f>
              <c:numCache>
                <c:formatCode>0.00</c:formatCode>
                <c:ptCount val="9"/>
                <c:pt idx="0">
                  <c:v>5.3247567351939713</c:v>
                </c:pt>
                <c:pt idx="1">
                  <c:v>4.8851611351611348</c:v>
                </c:pt>
                <c:pt idx="2">
                  <c:v>4.4443261656376416</c:v>
                </c:pt>
                <c:pt idx="3">
                  <c:v>4.0573390206642044</c:v>
                </c:pt>
                <c:pt idx="4">
                  <c:v>4.6407206601381361</c:v>
                </c:pt>
                <c:pt idx="5">
                  <c:v>2.9291695958362629</c:v>
                </c:pt>
                <c:pt idx="6">
                  <c:v>3.5094736181692703</c:v>
                </c:pt>
                <c:pt idx="7">
                  <c:v>3.6001563496471847</c:v>
                </c:pt>
                <c:pt idx="8">
                  <c:v>5.8938155565911723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07B0-4F8F-93AD-F264F3D562C3}"/>
            </c:ext>
          </c:extLst>
        </c:ser>
        <c:ser>
          <c:idx val="3"/>
          <c:order val="3"/>
          <c:tx>
            <c:v>2010</c:v>
          </c:tx>
          <c:spPr>
            <a:ln w="9360">
              <a:solidFill>
                <a:srgbClr val="000080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('2010'!$D$34:$H$34,'2010'!$L$34:$O$34)</c:f>
              <c:numCache>
                <c:formatCode>0.00</c:formatCode>
                <c:ptCount val="9"/>
                <c:pt idx="0">
                  <c:v>6.3636363636363642</c:v>
                </c:pt>
                <c:pt idx="1">
                  <c:v>5.7292914435771571</c:v>
                </c:pt>
                <c:pt idx="2">
                  <c:v>4.9992874066948136</c:v>
                </c:pt>
                <c:pt idx="3">
                  <c:v>3.7122068784337916</c:v>
                </c:pt>
                <c:pt idx="4">
                  <c:v>4.6452786178813579</c:v>
                </c:pt>
                <c:pt idx="5">
                  <c:v>2.9281685125840973</c:v>
                </c:pt>
                <c:pt idx="6">
                  <c:v>2.9839844654659466</c:v>
                </c:pt>
                <c:pt idx="7">
                  <c:v>5.0196716863383539</c:v>
                </c:pt>
                <c:pt idx="8">
                  <c:v>5.7004984621911126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07B0-4F8F-93AD-F264F3D562C3}"/>
            </c:ext>
          </c:extLst>
        </c:ser>
        <c:ser>
          <c:idx val="4"/>
          <c:order val="4"/>
          <c:tx>
            <c:v>2011</c:v>
          </c:tx>
          <c:spPr>
            <a:ln w="19080">
              <a:solidFill>
                <a:srgbClr val="00B050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('2011'!$D$34:$H$34,'2011'!$L$34:$O$34)</c:f>
              <c:numCache>
                <c:formatCode>0.00</c:formatCode>
                <c:ptCount val="9"/>
                <c:pt idx="0">
                  <c:v>5.3485987696514004</c:v>
                </c:pt>
                <c:pt idx="1">
                  <c:v>5.4885590599876322</c:v>
                </c:pt>
                <c:pt idx="2">
                  <c:v>4.716781589745759</c:v>
                </c:pt>
                <c:pt idx="3">
                  <c:v>2.9030798261567492</c:v>
                </c:pt>
                <c:pt idx="4">
                  <c:v>3.7061260082842824</c:v>
                </c:pt>
                <c:pt idx="5">
                  <c:v>4.003932575361147</c:v>
                </c:pt>
                <c:pt idx="6">
                  <c:v>2.7603360936694274</c:v>
                </c:pt>
                <c:pt idx="7">
                  <c:v>3.3439677295274715</c:v>
                </c:pt>
                <c:pt idx="8">
                  <c:v>4.8085817316586548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07B0-4F8F-93AD-F264F3D562C3}"/>
            </c:ext>
          </c:extLst>
        </c:ser>
        <c:ser>
          <c:idx val="5"/>
          <c:order val="5"/>
          <c:tx>
            <c:v>2014</c:v>
          </c:tx>
          <c:spPr>
            <a:ln w="19080">
              <a:solidFill>
                <a:srgbClr val="F79646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('2014'!$D$34:$H$34,'2014'!$L$34:$O$34)</c:f>
              <c:numCache>
                <c:formatCode>0.00</c:formatCode>
                <c:ptCount val="9"/>
                <c:pt idx="0">
                  <c:v>5.5714426152382366</c:v>
                </c:pt>
                <c:pt idx="1">
                  <c:v>5.057509911878844</c:v>
                </c:pt>
                <c:pt idx="2">
                  <c:v>4.8040518337548042</c:v>
                </c:pt>
                <c:pt idx="3">
                  <c:v>5.4112554112554117</c:v>
                </c:pt>
                <c:pt idx="4">
                  <c:v>6.0338702470682177</c:v>
                </c:pt>
                <c:pt idx="5">
                  <c:v>1.0759221285537075</c:v>
                </c:pt>
                <c:pt idx="6">
                  <c:v>3.6652592071311281</c:v>
                </c:pt>
                <c:pt idx="7">
                  <c:v>4.1613829492617374</c:v>
                </c:pt>
                <c:pt idx="8">
                  <c:v>4.9201348706299202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07B0-4F8F-93AD-F264F3D562C3}"/>
            </c:ext>
          </c:extLst>
        </c:ser>
        <c:ser>
          <c:idx val="6"/>
          <c:order val="6"/>
          <c:tx>
            <c:v>2015</c:v>
          </c:tx>
          <c:spPr>
            <a:ln w="19080">
              <a:solidFill>
                <a:srgbClr val="84A7D1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('2015'!$D$34:$H$34,'2015'!$L$34:$O$34)</c:f>
              <c:numCache>
                <c:formatCode>0.00</c:formatCode>
                <c:ptCount val="9"/>
                <c:pt idx="0">
                  <c:v>5.0820305642264101</c:v>
                </c:pt>
                <c:pt idx="1">
                  <c:v>4.6496866153354715</c:v>
                </c:pt>
                <c:pt idx="2">
                  <c:v>3.572071492863572</c:v>
                </c:pt>
                <c:pt idx="3">
                  <c:v>3.8218153553205099</c:v>
                </c:pt>
                <c:pt idx="4">
                  <c:v>2.9408996800301144</c:v>
                </c:pt>
                <c:pt idx="5">
                  <c:v>-0.20614306328592041</c:v>
                </c:pt>
                <c:pt idx="6">
                  <c:v>3.5473785473785475</c:v>
                </c:pt>
                <c:pt idx="7">
                  <c:v>4.0343775842615752</c:v>
                </c:pt>
                <c:pt idx="8">
                  <c:v>5.0826511222550836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07B0-4F8F-93AD-F264F3D562C3}"/>
            </c:ext>
          </c:extLst>
        </c:ser>
        <c:ser>
          <c:idx val="7"/>
          <c:order val="7"/>
          <c:tx>
            <c:v>2016</c:v>
          </c:tx>
          <c:spPr>
            <a:ln w="19080">
              <a:solidFill>
                <a:srgbClr val="9BBB59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('2016'!$D$34:$H$34,'2016'!$L$34:$O$34)</c:f>
              <c:numCache>
                <c:formatCode>0.00</c:formatCode>
                <c:ptCount val="9"/>
                <c:pt idx="0">
                  <c:v>5.804208977583591</c:v>
                </c:pt>
                <c:pt idx="1">
                  <c:v>4.6258391367087022</c:v>
                </c:pt>
                <c:pt idx="2">
                  <c:v>3.9733983584250967</c:v>
                </c:pt>
                <c:pt idx="3">
                  <c:v>2.7404554665192964</c:v>
                </c:pt>
                <c:pt idx="4">
                  <c:v>12.704686617730095</c:v>
                </c:pt>
                <c:pt idx="5">
                  <c:v>2.6839826839826841</c:v>
                </c:pt>
                <c:pt idx="6">
                  <c:v>3.2467532467532467</c:v>
                </c:pt>
                <c:pt idx="7">
                  <c:v>4.8286001894249324</c:v>
                </c:pt>
                <c:pt idx="8">
                  <c:v>5.0439890341368168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7-07B0-4F8F-93AD-F264F3D562C3}"/>
            </c:ext>
          </c:extLst>
        </c:ser>
        <c:ser>
          <c:idx val="8"/>
          <c:order val="8"/>
          <c:tx>
            <c:v>2017</c:v>
          </c:tx>
          <c:spPr>
            <a:ln w="19080">
              <a:solidFill>
                <a:srgbClr val="C0504D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('2017'!$D$32:$H$32,'2017'!$L$32:$O$32)</c:f>
              <c:numCache>
                <c:formatCode>0.00</c:formatCode>
                <c:ptCount val="9"/>
                <c:pt idx="0">
                  <c:v>5.6006359498187139</c:v>
                </c:pt>
                <c:pt idx="1">
                  <c:v>5.3006253006253017</c:v>
                </c:pt>
                <c:pt idx="2">
                  <c:v>3.6227635485520455</c:v>
                </c:pt>
                <c:pt idx="3">
                  <c:v>3.3992042360243198</c:v>
                </c:pt>
                <c:pt idx="4">
                  <c:v>1.6233766233766234</c:v>
                </c:pt>
                <c:pt idx="5">
                  <c:v>2.8509299342632675</c:v>
                </c:pt>
                <c:pt idx="6">
                  <c:v>3.5691511070298949</c:v>
                </c:pt>
                <c:pt idx="7">
                  <c:v>3.5025982878743616</c:v>
                </c:pt>
                <c:pt idx="8">
                  <c:v>4.6212055740186413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8-07B0-4F8F-93AD-F264F3D562C3}"/>
            </c:ext>
          </c:extLst>
        </c:ser>
        <c:ser>
          <c:idx val="9"/>
          <c:order val="9"/>
          <c:tx>
            <c:v>2018</c:v>
          </c:tx>
          <c:spPr>
            <a:ln w="9360">
              <a:solidFill>
                <a:srgbClr val="A693BE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'2011'!$D$34:$H$34</c:f>
              <c:numCache>
                <c:formatCode>0.00</c:formatCode>
                <c:ptCount val="5"/>
                <c:pt idx="0">
                  <c:v>5.3485987696514004</c:v>
                </c:pt>
                <c:pt idx="1">
                  <c:v>5.4885590599876322</c:v>
                </c:pt>
                <c:pt idx="2">
                  <c:v>4.716781589745759</c:v>
                </c:pt>
                <c:pt idx="3">
                  <c:v>2.9030798261567492</c:v>
                </c:pt>
                <c:pt idx="4">
                  <c:v>3.7061260082842824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9-07B0-4F8F-93AD-F264F3D562C3}"/>
            </c:ext>
          </c:extLst>
        </c:ser>
        <c:ser>
          <c:idx val="10"/>
          <c:order val="10"/>
          <c:tx>
            <c:v>2019</c:v>
          </c:tx>
          <c:spPr>
            <a:ln w="19080">
              <a:solidFill>
                <a:srgbClr val="81C5D7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'2011'!$L$34:$P$34</c:f>
              <c:numCache>
                <c:formatCode>0.00</c:formatCode>
                <c:ptCount val="5"/>
                <c:pt idx="0">
                  <c:v>4.003932575361147</c:v>
                </c:pt>
                <c:pt idx="1">
                  <c:v>2.7603360936694274</c:v>
                </c:pt>
                <c:pt idx="2">
                  <c:v>3.3439677295274715</c:v>
                </c:pt>
                <c:pt idx="3">
                  <c:v>4.8085817316586548</c:v>
                </c:pt>
                <c:pt idx="4">
                  <c:v>4.5430713281720623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A-07B0-4F8F-93AD-F264F3D562C3}"/>
            </c:ext>
          </c:extLst>
        </c:ser>
        <c:ser>
          <c:idx val="11"/>
          <c:order val="11"/>
          <c:tx>
            <c:v>2020</c:v>
          </c:tx>
          <c:spPr>
            <a:ln w="19080">
              <a:solidFill>
                <a:srgbClr val="F9B67E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('2014'!$D$34:$H$34,'2014'!$L$34:$O$34)</c:f>
              <c:numCache>
                <c:formatCode>0.00</c:formatCode>
                <c:ptCount val="9"/>
                <c:pt idx="0">
                  <c:v>5.5714426152382366</c:v>
                </c:pt>
                <c:pt idx="1">
                  <c:v>5.057509911878844</c:v>
                </c:pt>
                <c:pt idx="2">
                  <c:v>4.8040518337548042</c:v>
                </c:pt>
                <c:pt idx="3">
                  <c:v>5.4112554112554117</c:v>
                </c:pt>
                <c:pt idx="4">
                  <c:v>6.0338702470682177</c:v>
                </c:pt>
                <c:pt idx="5">
                  <c:v>1.0759221285537075</c:v>
                </c:pt>
                <c:pt idx="6">
                  <c:v>3.6652592071311281</c:v>
                </c:pt>
                <c:pt idx="7">
                  <c:v>4.1613829492617374</c:v>
                </c:pt>
                <c:pt idx="8">
                  <c:v>4.9201348706299202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B-07B0-4F8F-93AD-F264F3D562C3}"/>
            </c:ext>
          </c:extLst>
        </c:ser>
        <c:ser>
          <c:idx val="12"/>
          <c:order val="12"/>
          <c:tx>
            <c:v>2021</c:v>
          </c:tx>
          <c:spPr>
            <a:ln w="19080">
              <a:solidFill>
                <a:srgbClr val="00B0F0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('2021'!$D$32:$H$32,'2021'!$L$32:$O$32)</c:f>
              <c:numCache>
                <c:formatCode>0.00</c:formatCode>
                <c:ptCount val="9"/>
                <c:pt idx="0">
                  <c:v>5.1803548277455178</c:v>
                </c:pt>
                <c:pt idx="1">
                  <c:v>6.0261364580736316</c:v>
                </c:pt>
                <c:pt idx="2">
                  <c:v>4.9151343705799144</c:v>
                </c:pt>
                <c:pt idx="3">
                  <c:v>4.5337324304578717</c:v>
                </c:pt>
                <c:pt idx="4">
                  <c:v>3.9749345304900854</c:v>
                </c:pt>
                <c:pt idx="5">
                  <c:v>2.1336018262247771</c:v>
                </c:pt>
                <c:pt idx="6">
                  <c:v>2.8032830580601278</c:v>
                </c:pt>
                <c:pt idx="7">
                  <c:v>3.9590885627471</c:v>
                </c:pt>
                <c:pt idx="8">
                  <c:v>6.1707677812546731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C-07B0-4F8F-93AD-F264F3D562C3}"/>
            </c:ext>
          </c:extLst>
        </c:ser>
        <c:ser>
          <c:idx val="13"/>
          <c:order val="13"/>
          <c:tx>
            <c:v>2022</c:v>
          </c:tx>
          <c:spPr>
            <a:ln w="19080">
              <a:solidFill>
                <a:srgbClr val="E46C0A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('2022'!$D$32:$H$32,'2022'!$L$32:$O$32)</c:f>
              <c:numCache>
                <c:formatCode>0.00</c:formatCode>
                <c:ptCount val="9"/>
                <c:pt idx="0">
                  <c:v>5.7687074829931975</c:v>
                </c:pt>
                <c:pt idx="1">
                  <c:v>5.0096701138367807</c:v>
                </c:pt>
                <c:pt idx="2">
                  <c:v>4.7442822664061604</c:v>
                </c:pt>
                <c:pt idx="3">
                  <c:v>3.5805519564220263</c:v>
                </c:pt>
                <c:pt idx="4">
                  <c:v>3.1897589589897288</c:v>
                </c:pt>
                <c:pt idx="5">
                  <c:v>2.2635556533861618</c:v>
                </c:pt>
                <c:pt idx="6">
                  <c:v>2.9717764612024431</c:v>
                </c:pt>
                <c:pt idx="7">
                  <c:v>3.8853907035725217</c:v>
                </c:pt>
                <c:pt idx="8">
                  <c:v>5.3862017247844012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D-07B0-4F8F-93AD-F264F3D562C3}"/>
            </c:ext>
          </c:extLst>
        </c:ser>
        <c:ser>
          <c:idx val="14"/>
          <c:order val="14"/>
          <c:tx>
            <c:v>2023</c:v>
          </c:tx>
          <c:spPr>
            <a:ln w="1905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('2010'!$D$6:$H$6,'2010'!$L$6:$O$6)</c:f>
              <c:strCache>
                <c:ptCount val="9"/>
                <c:pt idx="0">
                  <c:v>Tammi</c:v>
                </c:pt>
                <c:pt idx="1">
                  <c:v>Helmi</c:v>
                </c:pt>
                <c:pt idx="2">
                  <c:v>Maalis</c:v>
                </c:pt>
                <c:pt idx="3">
                  <c:v>Huhti</c:v>
                </c:pt>
                <c:pt idx="4">
                  <c:v>Touko </c:v>
                </c:pt>
                <c:pt idx="5">
                  <c:v>Syys</c:v>
                </c:pt>
                <c:pt idx="6">
                  <c:v>Loka</c:v>
                </c:pt>
                <c:pt idx="7">
                  <c:v>Marras</c:v>
                </c:pt>
                <c:pt idx="8">
                  <c:v>Joulu</c:v>
                </c:pt>
              </c:strCache>
            </c:strRef>
          </c:cat>
          <c:val>
            <c:numRef>
              <c:f>('2023'!$D$32:$H$32,'2023'!$L$32:$O$32)</c:f>
              <c:numCache>
                <c:formatCode>0.00</c:formatCode>
                <c:ptCount val="9"/>
                <c:pt idx="0">
                  <c:v>5.1543920214806294</c:v>
                </c:pt>
                <c:pt idx="1">
                  <c:v>4.9603174603174605</c:v>
                </c:pt>
                <c:pt idx="2">
                  <c:v>4.3709655987523517</c:v>
                </c:pt>
                <c:pt idx="3">
                  <c:v>3.3810441324892184</c:v>
                </c:pt>
                <c:pt idx="4">
                  <c:v>3.0980176471979743</c:v>
                </c:pt>
                <c:pt idx="5">
                  <c:v>1.9480519480519449</c:v>
                </c:pt>
                <c:pt idx="6">
                  <c:v>2.7995399805144587</c:v>
                </c:pt>
                <c:pt idx="7">
                  <c:v>4.5522743844298619</c:v>
                </c:pt>
                <c:pt idx="8">
                  <c:v>3.8341499983491913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E-07B0-4F8F-93AD-F264F3D562C3}"/>
            </c:ext>
          </c:extLst>
        </c:ser>
        <c:ser>
          <c:idx val="15"/>
          <c:order val="15"/>
          <c:tx>
            <c:v>2024</c:v>
          </c:tx>
          <c:spPr>
            <a:ln w="19050">
              <a:solidFill>
                <a:srgbClr val="FFFF00"/>
              </a:solidFill>
            </a:ln>
          </c:spPr>
          <c:marker>
            <c:symbol val="none"/>
          </c:marker>
          <c:val>
            <c:numRef>
              <c:f>('2024'!$D$32:$H$32,'2024'!$L$32:$O$32)</c:f>
              <c:numCache>
                <c:formatCode>0.00</c:formatCode>
                <c:ptCount val="9"/>
                <c:pt idx="0">
                  <c:v>3.941954795105806</c:v>
                </c:pt>
                <c:pt idx="1">
                  <c:v>3.8980333639424551</c:v>
                </c:pt>
                <c:pt idx="2">
                  <c:v>3.2324130743670976</c:v>
                </c:pt>
                <c:pt idx="3">
                  <c:v>3.1347289318303813</c:v>
                </c:pt>
                <c:pt idx="4">
                  <c:v>3.8440612211104015</c:v>
                </c:pt>
                <c:pt idx="5">
                  <c:v>4.7175047175047178</c:v>
                </c:pt>
                <c:pt idx="6">
                  <c:v>3.2671730784938338</c:v>
                </c:pt>
                <c:pt idx="7">
                  <c:v>3.3465964385626124</c:v>
                </c:pt>
                <c:pt idx="8">
                  <c:v>4.2798252152556788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76C-41C6-A290-D745939CA584}"/>
            </c:ext>
          </c:extLst>
        </c:ser>
        <c:ser>
          <c:idx val="16"/>
          <c:order val="16"/>
          <c:tx>
            <c:v>2025</c:v>
          </c:tx>
          <c:spPr>
            <a:ln w="3810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('2025'!$D$32:$H$32,'2025'!$L$32:$O$32)</c:f>
              <c:numCache>
                <c:formatCode>0.00</c:formatCode>
                <c:ptCount val="9"/>
                <c:pt idx="0">
                  <c:v>3.8353246753246757</c:v>
                </c:pt>
                <c:pt idx="1">
                  <c:v>3.9177548414001624</c:v>
                </c:pt>
                <c:pt idx="2">
                  <c:v>3.623575360102306</c:v>
                </c:pt>
                <c:pt idx="3">
                  <c:v>3.2755708343943644</c:v>
                </c:pt>
                <c:pt idx="4">
                  <c:v>3.358710255261979</c:v>
                </c:pt>
                <c:pt idx="5">
                  <c:v>4.7491186731693062</c:v>
                </c:pt>
                <c:pt idx="6">
                  <c:v>3.0412094365582742</c:v>
                </c:pt>
                <c:pt idx="7">
                  <c:v>3.9980421020689474</c:v>
                </c:pt>
                <c:pt idx="8">
                  <c:v>4.2409584849288002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A10-4A95-8F16-07740E183C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smooth val="0"/>
        <c:axId val="14748927"/>
        <c:axId val="59536551"/>
      </c:lineChart>
      <c:catAx>
        <c:axId val="1474892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endParaRPr lang="fi-FI"/>
          </a:p>
        </c:txPr>
        <c:crossAx val="59536551"/>
        <c:crosses val="autoZero"/>
        <c:auto val="1"/>
        <c:lblAlgn val="ctr"/>
        <c:lblOffset val="100"/>
        <c:noMultiLvlLbl val="0"/>
      </c:catAx>
      <c:valAx>
        <c:axId val="59536551"/>
        <c:scaling>
          <c:orientation val="minMax"/>
          <c:max val="10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fi-FI" sz="1000" b="0" strike="noStrike" spc="-1">
                    <a:solidFill>
                      <a:srgbClr val="000000"/>
                    </a:solidFill>
                    <a:latin typeface="Arial"/>
                    <a:ea typeface="Calibri"/>
                  </a:defRPr>
                </a:pPr>
                <a:r>
                  <a:rPr lang="fi-FI" sz="1000" b="0" strike="noStrike" spc="-1">
                    <a:solidFill>
                      <a:srgbClr val="000000"/>
                    </a:solidFill>
                    <a:latin typeface="Arial"/>
                    <a:ea typeface="Calibri"/>
                  </a:rPr>
                  <a:t>Ominas sähkönkulutus lämmitykseen [Wh/m3/oCd]</a:t>
                </a:r>
              </a:p>
            </c:rich>
          </c:tx>
          <c:layout>
            <c:manualLayout>
              <c:xMode val="edge"/>
              <c:yMode val="edge"/>
              <c:x val="9.3403612123091201E-3"/>
              <c:y val="0.25413971155558202"/>
            </c:manualLayout>
          </c:layout>
          <c:overlay val="0"/>
          <c:spPr>
            <a:noFill/>
            <a:ln w="0">
              <a:noFill/>
            </a:ln>
          </c:spPr>
        </c:title>
        <c:numFmt formatCode="0.0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endParaRPr lang="fi-FI"/>
          </a:p>
        </c:txPr>
        <c:crossAx val="14748927"/>
        <c:crosses val="autoZero"/>
        <c:crossBetween val="between"/>
      </c:valAx>
      <c:spPr>
        <a:solidFill>
          <a:srgbClr val="C0C0C0"/>
        </a:solidFill>
        <a:ln w="0">
          <a:noFill/>
        </a:ln>
      </c:spPr>
    </c:plotArea>
    <c:legend>
      <c:legendPos val="r"/>
      <c:layout>
        <c:manualLayout>
          <c:xMode val="edge"/>
          <c:yMode val="edge"/>
          <c:x val="0.57541442471454796"/>
          <c:y val="0.168459752832403"/>
          <c:w val="0.29097204360643414"/>
          <c:h val="0.24542417496657642"/>
        </c:manualLayout>
      </c:layout>
      <c:overlay val="0"/>
      <c:spPr>
        <a:noFill/>
        <a:ln w="0">
          <a:noFill/>
        </a:ln>
      </c:spPr>
      <c:txPr>
        <a:bodyPr/>
        <a:lstStyle/>
        <a:p>
          <a:pPr>
            <a:defRPr sz="1100" b="1" strike="noStrike" spc="-1">
              <a:solidFill>
                <a:srgbClr val="000000"/>
              </a:solidFill>
              <a:latin typeface="Arial"/>
              <a:ea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lang="fi-FI" sz="2300" b="1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r>
              <a:rPr lang="fi-FI" sz="2300" b="1" strike="noStrike" spc="-1">
                <a:solidFill>
                  <a:srgbClr val="000000"/>
                </a:solidFill>
                <a:latin typeface="Arial"/>
                <a:ea typeface="Calibri"/>
              </a:rPr>
              <a:t>Omakotitalo 4H+K Astepäiväseuranta</a:t>
            </a:r>
          </a:p>
        </c:rich>
      </c:tx>
      <c:layout>
        <c:manualLayout>
          <c:xMode val="edge"/>
          <c:yMode val="edge"/>
          <c:x val="0.233625300364313"/>
          <c:y val="2.0238589827289499E-2"/>
        </c:manualLayout>
      </c:layout>
      <c:overlay val="0"/>
      <c:spPr>
        <a:noFill/>
        <a:ln w="0">
          <a:noFill/>
        </a:ln>
      </c:spPr>
    </c:title>
    <c:autoTitleDeleted val="0"/>
    <c:plotArea>
      <c:layout>
        <c:manualLayout>
          <c:xMode val="edge"/>
          <c:yMode val="edge"/>
          <c:x val="5.0306177815673203E-2"/>
          <c:y val="0.17621223811502201"/>
          <c:w val="0.91748701651034803"/>
          <c:h val="0.743901715235326"/>
        </c:manualLayout>
      </c:layout>
      <c:scatterChart>
        <c:scatterStyle val="lineMarker"/>
        <c:varyColors val="0"/>
        <c:ser>
          <c:idx val="0"/>
          <c:order val="0"/>
          <c:tx>
            <c:v>2007</c:v>
          </c:tx>
          <c:spPr>
            <a:ln w="19080">
              <a:noFill/>
            </a:ln>
          </c:spPr>
          <c:marker>
            <c:symbol val="circle"/>
            <c:size val="7"/>
            <c:spPr>
              <a:solidFill>
                <a:srgbClr val="00008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fi-FI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name>Linear (2007)</c:name>
            <c:spPr>
              <a:ln w="19080">
                <a:solidFill>
                  <a:srgbClr val="000000">
                    <a:alpha val="0"/>
                  </a:srgbClr>
                </a:solidFill>
                <a:round/>
              </a:ln>
            </c:spPr>
            <c:trendlineType val="linear"/>
            <c:dispRSqr val="0"/>
            <c:dispEq val="0"/>
          </c:trendline>
          <c:xVal>
            <c:numRef>
              <c:f>'2007'!$D$12:$O$12</c:f>
              <c:numCache>
                <c:formatCode>#,##0</c:formatCode>
                <c:ptCount val="12"/>
                <c:pt idx="0">
                  <c:v>670</c:v>
                </c:pt>
                <c:pt idx="1">
                  <c:v>852</c:v>
                </c:pt>
                <c:pt idx="2">
                  <c:v>469</c:v>
                </c:pt>
                <c:pt idx="3">
                  <c:v>367</c:v>
                </c:pt>
                <c:pt idx="4">
                  <c:v>147</c:v>
                </c:pt>
                <c:pt idx="5">
                  <c:v>0</c:v>
                </c:pt>
                <c:pt idx="6">
                  <c:v>0</c:v>
                </c:pt>
                <c:pt idx="7">
                  <c:v>37</c:v>
                </c:pt>
                <c:pt idx="8">
                  <c:v>197</c:v>
                </c:pt>
                <c:pt idx="9">
                  <c:v>348</c:v>
                </c:pt>
                <c:pt idx="10">
                  <c:v>553</c:v>
                </c:pt>
                <c:pt idx="11">
                  <c:v>529</c:v>
                </c:pt>
              </c:numCache>
            </c:numRef>
          </c:xVal>
          <c:yVal>
            <c:numRef>
              <c:f>'2007'!$D$28:$O$28</c:f>
              <c:numCache>
                <c:formatCode>0.00</c:formatCode>
                <c:ptCount val="12"/>
                <c:pt idx="0">
                  <c:v>5.15007215007215</c:v>
                </c:pt>
                <c:pt idx="1">
                  <c:v>5.0642135642135653</c:v>
                </c:pt>
                <c:pt idx="2">
                  <c:v>3.0974025974025978</c:v>
                </c:pt>
                <c:pt idx="3">
                  <c:v>2.0887445887445888</c:v>
                </c:pt>
                <c:pt idx="4">
                  <c:v>0.89321789321789336</c:v>
                </c:pt>
                <c:pt idx="5">
                  <c:v>0.22727272727272749</c:v>
                </c:pt>
                <c:pt idx="6">
                  <c:v>0</c:v>
                </c:pt>
                <c:pt idx="7">
                  <c:v>0</c:v>
                </c:pt>
                <c:pt idx="8">
                  <c:v>0.9379509379509382</c:v>
                </c:pt>
                <c:pt idx="9">
                  <c:v>1.9538239538239539</c:v>
                </c:pt>
                <c:pt idx="10">
                  <c:v>3.7157287157287158</c:v>
                </c:pt>
                <c:pt idx="11">
                  <c:v>3.9235209235209232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CD-42E4-943D-9E388C960A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00813"/>
        <c:axId val="90594794"/>
      </c:scatterChart>
      <c:valAx>
        <c:axId val="78500813"/>
        <c:scaling>
          <c:orientation val="minMax"/>
          <c:max val="1000"/>
        </c:scaling>
        <c:delete val="0"/>
        <c:axPos val="b"/>
        <c:title>
          <c:tx>
            <c:rich>
              <a:bodyPr rot="0"/>
              <a:lstStyle/>
              <a:p>
                <a:pPr>
                  <a:defRPr lang="fi-FI" sz="1000" b="1" strike="noStrike" spc="-1">
                    <a:solidFill>
                      <a:srgbClr val="000000"/>
                    </a:solidFill>
                    <a:latin typeface="Arial"/>
                    <a:ea typeface="Calibri"/>
                  </a:defRPr>
                </a:pPr>
                <a:r>
                  <a:rPr lang="fi-FI" sz="1000" b="1" strike="noStrike" spc="-1">
                    <a:solidFill>
                      <a:srgbClr val="000000"/>
                    </a:solidFill>
                    <a:latin typeface="Arial"/>
                    <a:ea typeface="Calibri"/>
                  </a:rPr>
                  <a:t>Astepäiväluku S17 [Cd]</a:t>
                </a:r>
              </a:p>
            </c:rich>
          </c:tx>
          <c:layout>
            <c:manualLayout>
              <c:xMode val="edge"/>
              <c:yMode val="edge"/>
              <c:x val="0.42954034570963501"/>
              <c:y val="0.95958217104872701"/>
            </c:manualLayout>
          </c:layout>
          <c:overlay val="0"/>
          <c:spPr>
            <a:noFill/>
            <a:ln w="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endParaRPr lang="fi-FI"/>
          </a:p>
        </c:txPr>
        <c:crossAx val="90594794"/>
        <c:crosses val="autoZero"/>
        <c:crossBetween val="midCat"/>
      </c:valAx>
      <c:valAx>
        <c:axId val="90594794"/>
        <c:scaling>
          <c:orientation val="minMax"/>
          <c:min val="0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lang="fi-FI" sz="1000" b="0" strike="noStrike" spc="-1">
                    <a:solidFill>
                      <a:srgbClr val="000000"/>
                    </a:solidFill>
                    <a:latin typeface="Arial"/>
                    <a:ea typeface="Calibri"/>
                  </a:defRPr>
                </a:pPr>
                <a:r>
                  <a:rPr lang="fi-FI" sz="1000" b="0" strike="noStrike" spc="-1">
                    <a:solidFill>
                      <a:srgbClr val="000000"/>
                    </a:solidFill>
                    <a:latin typeface="Arial"/>
                    <a:ea typeface="Calibri"/>
                  </a:rPr>
                  <a:t>Ominas sähkönkulutus lämmitykseen [kWh/m3]</a:t>
                </a:r>
              </a:p>
            </c:rich>
          </c:tx>
          <c:layout>
            <c:manualLayout>
              <c:xMode val="edge"/>
              <c:yMode val="edge"/>
              <c:x val="3.8756685528253602E-5"/>
              <c:y val="0.24737373137871699"/>
            </c:manualLayout>
          </c:layout>
          <c:overlay val="0"/>
          <c:spPr>
            <a:noFill/>
            <a:ln w="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Arial"/>
                <a:ea typeface="Calibri"/>
              </a:defRPr>
            </a:pPr>
            <a:endParaRPr lang="fi-FI"/>
          </a:p>
        </c:txPr>
        <c:crossAx val="78500813"/>
        <c:crosses val="autoZero"/>
        <c:crossBetween val="midCat"/>
        <c:majorUnit val="1"/>
      </c:valAx>
      <c:spPr>
        <a:solidFill>
          <a:srgbClr val="C0C0C0"/>
        </a:solidFill>
        <a:ln w="0">
          <a:noFill/>
        </a:ln>
      </c:spPr>
    </c:plotArea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296640</xdr:colOff>
      <xdr:row>37</xdr:row>
      <xdr:rowOff>50400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296640</xdr:colOff>
      <xdr:row>37</xdr:row>
      <xdr:rowOff>50400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296640</xdr:colOff>
      <xdr:row>37</xdr:row>
      <xdr:rowOff>50400</xdr:rowOff>
    </xdr:to>
    <xdr:graphicFrame macro="">
      <xdr:nvGraphicFramePr>
        <xdr:cNvPr id="2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296640</xdr:colOff>
      <xdr:row>37</xdr:row>
      <xdr:rowOff>50400</xdr:rowOff>
    </xdr:to>
    <xdr:graphicFrame macro="">
      <xdr:nvGraphicFramePr>
        <xdr:cNvPr id="3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tabSelected="1" topLeftCell="B1" zoomScale="90" zoomScaleNormal="90" workbookViewId="0">
      <selection activeCell="P8" sqref="P8:P15"/>
    </sheetView>
  </sheetViews>
  <sheetFormatPr defaultColWidth="14.44140625" defaultRowHeight="13.2" x14ac:dyDescent="0.25"/>
  <cols>
    <col min="1" max="1" width="8.6640625" style="1" customWidth="1"/>
    <col min="2" max="2" width="23.44140625" style="1" customWidth="1"/>
    <col min="3" max="3" width="6.5546875" style="1" customWidth="1"/>
    <col min="4" max="4" width="10.33203125" style="1" customWidth="1"/>
    <col min="5" max="15" width="9.33203125" style="1" customWidth="1"/>
    <col min="16" max="18" width="10.5546875" style="1" customWidth="1"/>
    <col min="19" max="19" width="8.6640625" style="1" customWidth="1"/>
    <col min="20" max="20" width="11.5546875" style="1" customWidth="1"/>
    <col min="21" max="25" width="8.6640625" style="1" customWidth="1"/>
    <col min="26" max="26" width="14.6640625" style="1" customWidth="1"/>
    <col min="27" max="28" width="8.6640625" style="1" customWidth="1"/>
    <col min="29" max="16384" width="14.44140625" style="1"/>
  </cols>
  <sheetData>
    <row r="1" spans="1:28" ht="18" customHeight="1" x14ac:dyDescent="0.3">
      <c r="A1" s="2" t="s">
        <v>0</v>
      </c>
      <c r="D1" s="3">
        <v>2025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5"/>
      <c r="S1" s="6"/>
      <c r="T1" s="7"/>
    </row>
    <row r="2" spans="1:28" ht="11.25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5"/>
      <c r="S2" s="9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92</v>
      </c>
      <c r="I3" s="4"/>
      <c r="J3" s="4"/>
      <c r="K3" s="4">
        <v>9.5</v>
      </c>
      <c r="L3" s="11" t="s">
        <v>5</v>
      </c>
      <c r="M3" s="4"/>
      <c r="N3" s="4"/>
      <c r="O3" s="4"/>
      <c r="P3" s="4"/>
      <c r="Q3" s="8"/>
      <c r="R3" s="12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(SUM(I9:K9)-SUM(I10:K10))/92</f>
        <v>10.059065217391304</v>
      </c>
      <c r="L4" s="11" t="s">
        <v>5</v>
      </c>
      <c r="M4" s="11"/>
      <c r="N4" s="11"/>
      <c r="O4" s="11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customHeight="1" x14ac:dyDescent="0.25">
      <c r="A7" s="19"/>
      <c r="B7" s="20"/>
      <c r="C7" s="21"/>
      <c r="D7" s="22">
        <v>31</v>
      </c>
      <c r="E7" s="22">
        <v>28</v>
      </c>
      <c r="F7" s="22">
        <v>31</v>
      </c>
      <c r="G7" s="22">
        <v>30</v>
      </c>
      <c r="H7" s="22">
        <v>31</v>
      </c>
      <c r="I7" s="22">
        <v>30</v>
      </c>
      <c r="J7" s="22">
        <v>31</v>
      </c>
      <c r="K7" s="22">
        <v>31</v>
      </c>
      <c r="L7" s="22">
        <v>30</v>
      </c>
      <c r="M7" s="22">
        <v>31</v>
      </c>
      <c r="N7" s="22">
        <v>30</v>
      </c>
      <c r="O7" s="22">
        <v>31</v>
      </c>
      <c r="P7" s="23">
        <f>SUM(D7:O7)</f>
        <v>365</v>
      </c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2.75" customHeight="1" x14ac:dyDescent="0.25">
      <c r="A8" s="25">
        <v>2025</v>
      </c>
      <c r="B8" s="26" t="s">
        <v>23</v>
      </c>
      <c r="C8" s="27" t="s">
        <v>24</v>
      </c>
      <c r="D8" s="28">
        <v>-3.2</v>
      </c>
      <c r="E8" s="28">
        <v>-4.7</v>
      </c>
      <c r="F8" s="28">
        <v>0.8</v>
      </c>
      <c r="G8" s="28">
        <v>4.5999999999999996</v>
      </c>
      <c r="H8" s="28">
        <v>9.3000000000000007</v>
      </c>
      <c r="I8" s="28">
        <v>14.3</v>
      </c>
      <c r="J8" s="28">
        <v>20.399999999999999</v>
      </c>
      <c r="K8" s="28">
        <v>15.3</v>
      </c>
      <c r="L8" s="28">
        <v>13.3</v>
      </c>
      <c r="M8" s="28">
        <v>5.9</v>
      </c>
      <c r="N8" s="28">
        <v>2.1</v>
      </c>
      <c r="O8" s="28">
        <v>-0.4</v>
      </c>
      <c r="P8" s="28">
        <f>AVERAGE(D8:O8)</f>
        <v>6.4749999999999988</v>
      </c>
      <c r="T8" s="29"/>
      <c r="U8" s="8"/>
      <c r="Z8" s="83"/>
      <c r="AA8" s="83"/>
    </row>
    <row r="9" spans="1:28" ht="12" customHeight="1" x14ac:dyDescent="0.25">
      <c r="A9" s="25">
        <v>2025</v>
      </c>
      <c r="B9" s="26" t="s">
        <v>25</v>
      </c>
      <c r="C9" s="30" t="s">
        <v>26</v>
      </c>
      <c r="D9" s="31">
        <v>958.97</v>
      </c>
      <c r="E9" s="31">
        <v>927.375</v>
      </c>
      <c r="F9" s="38">
        <v>797.73199999999997</v>
      </c>
      <c r="G9" s="38">
        <v>593.71600000000001</v>
      </c>
      <c r="H9" s="38">
        <v>501.62799999999999</v>
      </c>
      <c r="I9" s="38">
        <v>345.005</v>
      </c>
      <c r="J9" s="38">
        <v>318.67899999999997</v>
      </c>
      <c r="K9" s="38">
        <v>346.75</v>
      </c>
      <c r="L9" s="38">
        <v>392.88499999999999</v>
      </c>
      <c r="M9" s="81">
        <v>586.08100000000002</v>
      </c>
      <c r="N9" s="81">
        <v>780.39099999999996</v>
      </c>
      <c r="O9" s="81">
        <v>928.14499999999998</v>
      </c>
      <c r="P9" s="33">
        <f>SUM(D9:O9)</f>
        <v>7477.357</v>
      </c>
      <c r="Q9" s="34"/>
      <c r="R9" s="34"/>
      <c r="S9" s="35"/>
      <c r="T9" s="36" t="s">
        <v>27</v>
      </c>
      <c r="U9" s="34"/>
      <c r="Z9" s="37"/>
      <c r="AB9" s="37"/>
    </row>
    <row r="10" spans="1:28" ht="12" customHeight="1" x14ac:dyDescent="0.25">
      <c r="A10" s="25">
        <v>2025</v>
      </c>
      <c r="B10" s="26" t="s">
        <v>28</v>
      </c>
      <c r="C10" s="30" t="s">
        <v>26</v>
      </c>
      <c r="D10" s="38">
        <v>296</v>
      </c>
      <c r="E10" s="38">
        <v>277</v>
      </c>
      <c r="F10" s="38">
        <v>186</v>
      </c>
      <c r="G10" s="38">
        <v>132</v>
      </c>
      <c r="H10" s="38">
        <v>81</v>
      </c>
      <c r="I10" s="81">
        <v>27</v>
      </c>
      <c r="J10" s="39">
        <v>31</v>
      </c>
      <c r="K10" s="81">
        <v>27</v>
      </c>
      <c r="L10" s="38">
        <v>52</v>
      </c>
      <c r="M10" s="38">
        <v>145</v>
      </c>
      <c r="N10" s="38">
        <v>176</v>
      </c>
      <c r="O10" s="38">
        <v>168</v>
      </c>
      <c r="P10" s="38">
        <f>SUM(D10:O10)</f>
        <v>1598</v>
      </c>
      <c r="Q10" s="34"/>
      <c r="R10" s="34"/>
      <c r="T10" s="36">
        <f>SUM(D10:O10)+'2024'!P10</f>
        <v>3484</v>
      </c>
      <c r="U10" s="34"/>
      <c r="V10" s="35"/>
    </row>
    <row r="11" spans="1:28" ht="12" customHeight="1" x14ac:dyDescent="0.25">
      <c r="A11" s="25">
        <v>2025</v>
      </c>
      <c r="B11" s="40" t="s">
        <v>29</v>
      </c>
      <c r="C11" s="41" t="s">
        <v>30</v>
      </c>
      <c r="D11" s="38">
        <v>625</v>
      </c>
      <c r="E11" s="38">
        <v>609</v>
      </c>
      <c r="F11" s="38">
        <v>501</v>
      </c>
      <c r="G11" s="38">
        <v>340</v>
      </c>
      <c r="H11" s="38">
        <v>174</v>
      </c>
      <c r="I11" s="38">
        <v>0</v>
      </c>
      <c r="J11" s="38">
        <v>0</v>
      </c>
      <c r="K11" s="38">
        <v>0</v>
      </c>
      <c r="L11" s="38">
        <v>79</v>
      </c>
      <c r="M11" s="38">
        <v>344</v>
      </c>
      <c r="N11" s="38">
        <v>447</v>
      </c>
      <c r="O11" s="38">
        <v>539</v>
      </c>
      <c r="P11" s="38">
        <f>SUM(D11:O11)</f>
        <v>3658</v>
      </c>
      <c r="Q11" s="42"/>
      <c r="R11" s="34"/>
      <c r="S11" s="35"/>
      <c r="T11" s="34"/>
      <c r="U11" s="34"/>
      <c r="V11" s="35"/>
    </row>
    <row r="12" spans="1:28" ht="12" customHeight="1" x14ac:dyDescent="0.25">
      <c r="A12" s="25">
        <v>2025</v>
      </c>
      <c r="B12" s="40" t="s">
        <v>31</v>
      </c>
      <c r="C12" s="41" t="s">
        <v>30</v>
      </c>
      <c r="D12" s="38">
        <v>759</v>
      </c>
      <c r="E12" s="38">
        <v>699</v>
      </c>
      <c r="F12" s="38">
        <v>621</v>
      </c>
      <c r="G12" s="38">
        <v>403</v>
      </c>
      <c r="H12" s="38">
        <v>165</v>
      </c>
      <c r="I12" s="38">
        <v>22</v>
      </c>
      <c r="J12" s="38">
        <v>5</v>
      </c>
      <c r="K12" s="38">
        <v>28</v>
      </c>
      <c r="L12" s="38">
        <v>184</v>
      </c>
      <c r="M12" s="38">
        <v>386</v>
      </c>
      <c r="N12" s="38">
        <v>546</v>
      </c>
      <c r="O12" s="38">
        <v>692</v>
      </c>
      <c r="P12" s="38">
        <v>4510</v>
      </c>
      <c r="R12" s="34"/>
      <c r="T12" s="36"/>
      <c r="U12" s="34"/>
      <c r="V12" s="34"/>
    </row>
    <row r="13" spans="1:28" ht="12" customHeight="1" x14ac:dyDescent="0.25">
      <c r="A13" s="25">
        <v>2025</v>
      </c>
      <c r="B13" s="26" t="s">
        <v>32</v>
      </c>
      <c r="C13" s="30" t="s">
        <v>26</v>
      </c>
      <c r="D13" s="38">
        <f t="shared" ref="D13:O13" si="0">$K$3*D7</f>
        <v>294.5</v>
      </c>
      <c r="E13" s="38">
        <f t="shared" si="0"/>
        <v>266</v>
      </c>
      <c r="F13" s="38">
        <f t="shared" si="0"/>
        <v>294.5</v>
      </c>
      <c r="G13" s="38">
        <f t="shared" si="0"/>
        <v>285</v>
      </c>
      <c r="H13" s="38">
        <f t="shared" si="0"/>
        <v>294.5</v>
      </c>
      <c r="I13" s="38">
        <f t="shared" si="0"/>
        <v>285</v>
      </c>
      <c r="J13" s="38">
        <f t="shared" si="0"/>
        <v>294.5</v>
      </c>
      <c r="K13" s="38">
        <f t="shared" si="0"/>
        <v>294.5</v>
      </c>
      <c r="L13" s="38">
        <f t="shared" si="0"/>
        <v>285</v>
      </c>
      <c r="M13" s="38">
        <f t="shared" si="0"/>
        <v>294.5</v>
      </c>
      <c r="N13" s="38">
        <f t="shared" si="0"/>
        <v>285</v>
      </c>
      <c r="O13" s="38">
        <f t="shared" si="0"/>
        <v>294.5</v>
      </c>
      <c r="P13" s="38">
        <f>SUM(D13:O13)</f>
        <v>3467.5</v>
      </c>
      <c r="R13" s="34"/>
      <c r="T13" s="36">
        <f>P12-P11</f>
        <v>852</v>
      </c>
      <c r="U13" s="34"/>
    </row>
    <row r="14" spans="1:28" ht="12" customHeight="1" x14ac:dyDescent="0.25">
      <c r="A14" s="25">
        <v>2025</v>
      </c>
      <c r="B14" s="80" t="s">
        <v>91</v>
      </c>
      <c r="C14" s="30" t="s">
        <v>26</v>
      </c>
      <c r="D14" s="38">
        <f>D9-D13-D10</f>
        <v>368.47</v>
      </c>
      <c r="E14" s="38">
        <f t="shared" ref="E14:G14" si="1">E9-E13-E10</f>
        <v>384.375</v>
      </c>
      <c r="F14" s="38">
        <f t="shared" si="1"/>
        <v>317.23199999999997</v>
      </c>
      <c r="G14" s="38">
        <f t="shared" si="1"/>
        <v>176.71600000000001</v>
      </c>
      <c r="H14" s="38">
        <f>H10</f>
        <v>81</v>
      </c>
      <c r="I14" s="38">
        <f>I10</f>
        <v>27</v>
      </c>
      <c r="J14" s="43">
        <v>0</v>
      </c>
      <c r="K14" s="43">
        <v>0</v>
      </c>
      <c r="L14" s="38">
        <f>L10</f>
        <v>52</v>
      </c>
      <c r="M14" s="38">
        <f>M10</f>
        <v>145</v>
      </c>
      <c r="N14" s="38">
        <f t="shared" ref="N14:O14" si="2">N9-N13-N10</f>
        <v>319.39099999999996</v>
      </c>
      <c r="O14" s="38">
        <f t="shared" si="2"/>
        <v>465.64499999999998</v>
      </c>
      <c r="P14" s="38">
        <f>SUM(D14:O14)</f>
        <v>2336.8290000000002</v>
      </c>
      <c r="R14" s="34"/>
      <c r="T14" s="36"/>
      <c r="U14" s="34"/>
    </row>
    <row r="15" spans="1:28" ht="12" customHeight="1" x14ac:dyDescent="0.25">
      <c r="A15" s="25">
        <v>2025</v>
      </c>
      <c r="B15" s="26" t="s">
        <v>34</v>
      </c>
      <c r="C15" s="30" t="s">
        <v>26</v>
      </c>
      <c r="D15" s="38">
        <f t="shared" ref="D15:G15" si="3">IF(D11=0,0,((D12/D11))*(D10+D14))</f>
        <v>806.932368</v>
      </c>
      <c r="E15" s="38">
        <f t="shared" si="3"/>
        <v>759.11514778325125</v>
      </c>
      <c r="F15" s="38">
        <f t="shared" si="3"/>
        <v>623.76661077844301</v>
      </c>
      <c r="G15" s="38">
        <f t="shared" si="3"/>
        <v>365.91925882352945</v>
      </c>
      <c r="H15" s="38">
        <f>IF(H11=0,0,((H12/H11))*(H10+H14))</f>
        <v>153.62068965517241</v>
      </c>
      <c r="I15" s="38">
        <f>I14</f>
        <v>27</v>
      </c>
      <c r="J15" s="38">
        <f>J14</f>
        <v>0</v>
      </c>
      <c r="K15" s="38">
        <f>K14</f>
        <v>0</v>
      </c>
      <c r="L15" s="38">
        <f>IF(L11=0,0,((L12/L11))*(L10+L14))</f>
        <v>242.22784810126581</v>
      </c>
      <c r="M15" s="38">
        <f>IF(M11=0,0,((M12/M11))*(M10+M14))</f>
        <v>325.40697674418607</v>
      </c>
      <c r="N15" s="38">
        <f t="shared" ref="N15:O15" si="4">IF(N11=0,0,((N12/N11))*(N10+N14))</f>
        <v>605.10846979865767</v>
      </c>
      <c r="O15" s="38">
        <f t="shared" si="4"/>
        <v>813.51083487940627</v>
      </c>
      <c r="P15" s="33">
        <f>SUM(D15:O15)</f>
        <v>4722.6082045639123</v>
      </c>
      <c r="Q15" s="44"/>
      <c r="R15" s="34"/>
      <c r="T15" s="46">
        <f>T13/P12</f>
        <v>0.18891352549889134</v>
      </c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Q17" s="78"/>
      <c r="R17" s="78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5">D9/D7</f>
        <v>30.934516129032257</v>
      </c>
      <c r="E18" s="4">
        <f t="shared" si="5"/>
        <v>33.120535714285715</v>
      </c>
      <c r="F18" s="4">
        <f t="shared" si="5"/>
        <v>25.733290322580643</v>
      </c>
      <c r="G18" s="4">
        <f t="shared" si="5"/>
        <v>19.790533333333332</v>
      </c>
      <c r="H18" s="4">
        <f t="shared" si="5"/>
        <v>16.181548387096775</v>
      </c>
      <c r="I18" s="4">
        <f t="shared" si="5"/>
        <v>11.500166666666667</v>
      </c>
      <c r="J18" s="4">
        <f t="shared" si="5"/>
        <v>10.279967741935483</v>
      </c>
      <c r="K18" s="4">
        <f t="shared" si="5"/>
        <v>11.185483870967742</v>
      </c>
      <c r="L18" s="4">
        <f t="shared" si="5"/>
        <v>13.096166666666667</v>
      </c>
      <c r="M18" s="4">
        <f t="shared" si="5"/>
        <v>18.905838709677418</v>
      </c>
      <c r="N18" s="4">
        <f t="shared" si="5"/>
        <v>26.013033333333333</v>
      </c>
      <c r="O18" s="4">
        <f t="shared" si="5"/>
        <v>29.940161290322582</v>
      </c>
      <c r="P18" s="4"/>
      <c r="R18" s="78"/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958.97</v>
      </c>
      <c r="E19" s="4">
        <f>SUM($D$9:E9)</f>
        <v>1886.345</v>
      </c>
      <c r="F19" s="4">
        <f>SUM($D$9:F9)</f>
        <v>2684.0770000000002</v>
      </c>
      <c r="G19" s="4">
        <f>SUM($D$9:G9)</f>
        <v>3277.7930000000001</v>
      </c>
      <c r="H19" s="4">
        <f>SUM($D$9:H9)</f>
        <v>3779.4210000000003</v>
      </c>
      <c r="I19" s="4">
        <f>SUM($D$9:I9)</f>
        <v>4124.4260000000004</v>
      </c>
      <c r="J19" s="4">
        <f>SUM($D$9:J9)</f>
        <v>4443.1050000000005</v>
      </c>
      <c r="K19" s="4">
        <f>SUM($D$9:K9)</f>
        <v>4789.8550000000005</v>
      </c>
      <c r="L19" s="4">
        <f>SUM($D$9:L9)</f>
        <v>5182.7400000000007</v>
      </c>
      <c r="M19" s="4">
        <f>SUM($D$9:M9)</f>
        <v>5768.8210000000008</v>
      </c>
      <c r="N19" s="4">
        <f>SUM($D$9:N9)</f>
        <v>6549.2120000000004</v>
      </c>
      <c r="O19" s="4">
        <f>SUM($D$9:O9)</f>
        <v>7477.357</v>
      </c>
      <c r="P19" s="4"/>
      <c r="R19" s="79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296</v>
      </c>
      <c r="E20" s="4">
        <f>SUM($D$10:E10)</f>
        <v>573</v>
      </c>
      <c r="F20" s="4">
        <f>SUM($D$10:F10)</f>
        <v>759</v>
      </c>
      <c r="G20" s="4">
        <f>SUM($D$10:G10)</f>
        <v>891</v>
      </c>
      <c r="H20" s="4">
        <f>SUM($D$10:H10)</f>
        <v>972</v>
      </c>
      <c r="I20" s="4">
        <f>SUM($D$10:I10)</f>
        <v>999</v>
      </c>
      <c r="J20" s="4">
        <f>SUM($D$10:J10)</f>
        <v>1030</v>
      </c>
      <c r="K20" s="4">
        <f>SUM($D$10:K10)</f>
        <v>1057</v>
      </c>
      <c r="L20" s="4">
        <f>SUM($D$10:L10)</f>
        <v>1109</v>
      </c>
      <c r="M20" s="4">
        <f>SUM($D$10:M10)</f>
        <v>1254</v>
      </c>
      <c r="N20" s="4">
        <f>SUM($D$10:N10)</f>
        <v>1430</v>
      </c>
      <c r="O20" s="4">
        <f>SUM($D$10:O10)</f>
        <v>1598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368.47</v>
      </c>
      <c r="E21" s="4">
        <f>SUM($D$14:E14)</f>
        <v>752.84500000000003</v>
      </c>
      <c r="F21" s="4">
        <f>SUM($D$14:F14)</f>
        <v>1070.077</v>
      </c>
      <c r="G21" s="4">
        <f>SUM($D$14:G14)</f>
        <v>1246.7930000000001</v>
      </c>
      <c r="H21" s="4">
        <f>SUM($D$14:H14)</f>
        <v>1327.7930000000001</v>
      </c>
      <c r="I21" s="4">
        <f>SUM($D$14:I14)</f>
        <v>1354.7930000000001</v>
      </c>
      <c r="J21" s="4">
        <f>SUM($D$14:J14)</f>
        <v>1354.7930000000001</v>
      </c>
      <c r="K21" s="4">
        <f>SUM($D$14:K14)</f>
        <v>1354.7930000000001</v>
      </c>
      <c r="L21" s="4">
        <f>SUM($D$14:L14)</f>
        <v>1406.7930000000001</v>
      </c>
      <c r="M21" s="4">
        <f>SUM($D$14:M14)</f>
        <v>1551.7930000000001</v>
      </c>
      <c r="N21" s="4">
        <f>SUM($D$14:N14)</f>
        <v>1871.1840000000002</v>
      </c>
      <c r="O21" s="4">
        <f>SUM($D$14:O14)</f>
        <v>2336.8290000000002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6">D14/D9</f>
        <v>0.38423516898338844</v>
      </c>
      <c r="E24" s="51">
        <f t="shared" si="6"/>
        <v>0.41447634452082494</v>
      </c>
      <c r="F24" s="51">
        <f t="shared" si="6"/>
        <v>0.39766738704226479</v>
      </c>
      <c r="G24" s="51">
        <f t="shared" si="6"/>
        <v>0.29764399140329723</v>
      </c>
      <c r="H24" s="51">
        <f t="shared" si="6"/>
        <v>0.16147423987496712</v>
      </c>
      <c r="I24" s="51">
        <f t="shared" si="6"/>
        <v>7.8259735366154118E-2</v>
      </c>
      <c r="J24" s="51">
        <f t="shared" si="6"/>
        <v>0</v>
      </c>
      <c r="K24" s="51">
        <f t="shared" si="6"/>
        <v>0</v>
      </c>
      <c r="L24" s="51">
        <f t="shared" si="6"/>
        <v>0.13235425124400271</v>
      </c>
      <c r="M24" s="51">
        <f t="shared" si="6"/>
        <v>0.24740607526945935</v>
      </c>
      <c r="N24" s="51">
        <f t="shared" si="6"/>
        <v>0.40927048107935632</v>
      </c>
      <c r="O24" s="51">
        <f>O14/O9</f>
        <v>0.5016942395854096</v>
      </c>
      <c r="P24" s="51">
        <f t="shared" si="6"/>
        <v>0.31252072089108496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7">D14/D11</f>
        <v>0.58955200000000008</v>
      </c>
      <c r="E25" s="4">
        <f t="shared" si="7"/>
        <v>0.63115763546798032</v>
      </c>
      <c r="F25" s="4">
        <f t="shared" si="7"/>
        <v>0.63319760479041909</v>
      </c>
      <c r="G25" s="4">
        <f t="shared" si="7"/>
        <v>0.51975294117647064</v>
      </c>
      <c r="H25" s="4">
        <f t="shared" si="7"/>
        <v>0.46551724137931033</v>
      </c>
      <c r="I25" s="4">
        <v>0</v>
      </c>
      <c r="J25" s="4">
        <v>0</v>
      </c>
      <c r="K25" s="4">
        <v>0</v>
      </c>
      <c r="L25" s="4">
        <f t="shared" si="7"/>
        <v>0.65822784810126578</v>
      </c>
      <c r="M25" s="4">
        <f t="shared" si="7"/>
        <v>0.42151162790697677</v>
      </c>
      <c r="N25" s="4">
        <f t="shared" si="7"/>
        <v>0.71452125279642054</v>
      </c>
      <c r="O25" s="4">
        <f t="shared" si="7"/>
        <v>0.8639053803339517</v>
      </c>
      <c r="P25" s="4">
        <f t="shared" si="7"/>
        <v>0.63882695462001093</v>
      </c>
      <c r="R25" s="34"/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>(D10+D14)/D7</f>
        <v>21.434516129032257</v>
      </c>
      <c r="E26" s="4">
        <f t="shared" ref="E26:H26" si="8">(E10+E14)/E7</f>
        <v>23.620535714285715</v>
      </c>
      <c r="F26" s="4">
        <f t="shared" si="8"/>
        <v>16.233290322580643</v>
      </c>
      <c r="G26" s="4">
        <f t="shared" si="8"/>
        <v>10.290533333333334</v>
      </c>
      <c r="H26" s="4">
        <f t="shared" si="8"/>
        <v>5.225806451612903</v>
      </c>
      <c r="I26" s="4">
        <v>0</v>
      </c>
      <c r="J26" s="4">
        <v>0</v>
      </c>
      <c r="K26" s="4">
        <v>0</v>
      </c>
      <c r="L26" s="4">
        <f t="shared" ref="L26:P26" si="9">(L10+L14)/L7</f>
        <v>3.4666666666666668</v>
      </c>
      <c r="M26" s="4">
        <f t="shared" si="9"/>
        <v>9.3548387096774199</v>
      </c>
      <c r="N26" s="4">
        <f t="shared" si="9"/>
        <v>16.513033333333333</v>
      </c>
      <c r="O26" s="4">
        <f t="shared" si="9"/>
        <v>20.440161290322582</v>
      </c>
      <c r="P26" s="4">
        <f t="shared" si="9"/>
        <v>10.780353424657534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>D15/D7</f>
        <v>26.030076387096774</v>
      </c>
      <c r="E27" s="4">
        <f t="shared" ref="E27:P27" si="10">E15/E7</f>
        <v>27.11125527797326</v>
      </c>
      <c r="F27" s="4">
        <f t="shared" si="10"/>
        <v>20.121503573498163</v>
      </c>
      <c r="G27" s="4">
        <f t="shared" si="10"/>
        <v>12.197308627450981</v>
      </c>
      <c r="H27" s="4">
        <f t="shared" si="10"/>
        <v>4.9555061179087874</v>
      </c>
      <c r="I27" s="4">
        <v>0</v>
      </c>
      <c r="J27" s="4">
        <v>0</v>
      </c>
      <c r="K27" s="4">
        <v>0</v>
      </c>
      <c r="L27" s="4">
        <f t="shared" si="10"/>
        <v>8.0742616033755272</v>
      </c>
      <c r="M27" s="4">
        <f t="shared" si="10"/>
        <v>10.496999249812454</v>
      </c>
      <c r="N27" s="4">
        <f t="shared" si="10"/>
        <v>20.170282326621923</v>
      </c>
      <c r="O27" s="4">
        <f t="shared" si="10"/>
        <v>26.242284996109881</v>
      </c>
      <c r="P27" s="4">
        <f t="shared" si="10"/>
        <v>12.938652615243596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>(D10+D14)/$F$4</f>
        <v>2.3970779220779224</v>
      </c>
      <c r="E28" s="4">
        <f t="shared" ref="E28:O28" si="11">(E10+E14)/$F$4</f>
        <v>2.3859126984126986</v>
      </c>
      <c r="F28" s="4">
        <f t="shared" si="11"/>
        <v>1.8154112554112554</v>
      </c>
      <c r="G28" s="4">
        <f t="shared" si="11"/>
        <v>1.1136940836940838</v>
      </c>
      <c r="H28" s="4">
        <f t="shared" si="11"/>
        <v>0.58441558441558439</v>
      </c>
      <c r="I28" s="4">
        <v>0</v>
      </c>
      <c r="J28" s="4">
        <v>0</v>
      </c>
      <c r="K28" s="4">
        <v>0</v>
      </c>
      <c r="L28" s="4">
        <f t="shared" si="11"/>
        <v>0.37518037518037517</v>
      </c>
      <c r="M28" s="4">
        <f t="shared" si="11"/>
        <v>1.0461760461760463</v>
      </c>
      <c r="N28" s="4">
        <f t="shared" si="11"/>
        <v>1.7871248196248195</v>
      </c>
      <c r="O28" s="4">
        <f t="shared" si="11"/>
        <v>2.2858766233766232</v>
      </c>
      <c r="P28" s="4">
        <f t="shared" ref="P28" si="12">P14/$F$4</f>
        <v>8.4301190476190477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>(D10+D14)/$F$3</f>
        <v>6.0406363636363638</v>
      </c>
      <c r="E29" s="4">
        <f t="shared" ref="E29:H29" si="13">(E10+E14)/$F$3</f>
        <v>6.0125000000000002</v>
      </c>
      <c r="F29" s="4">
        <f t="shared" si="13"/>
        <v>4.5748363636363631</v>
      </c>
      <c r="G29" s="4">
        <f t="shared" si="13"/>
        <v>2.8065090909090911</v>
      </c>
      <c r="H29" s="4">
        <f t="shared" si="13"/>
        <v>1.4727272727272727</v>
      </c>
      <c r="I29" s="4">
        <v>0</v>
      </c>
      <c r="J29" s="4">
        <v>0</v>
      </c>
      <c r="K29" s="4">
        <v>0</v>
      </c>
      <c r="L29" s="4">
        <f t="shared" ref="L29:P29" si="14">(L10+L14)/$F$3</f>
        <v>0.94545454545454544</v>
      </c>
      <c r="M29" s="4">
        <f t="shared" si="14"/>
        <v>2.6363636363636362</v>
      </c>
      <c r="N29" s="4">
        <f t="shared" si="14"/>
        <v>4.5035545454545449</v>
      </c>
      <c r="O29" s="4">
        <f t="shared" si="14"/>
        <v>5.760409090909091</v>
      </c>
      <c r="P29" s="4">
        <f t="shared" si="14"/>
        <v>35.771172727272727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15">D15/$F$4</f>
        <v>2.9110114285714288</v>
      </c>
      <c r="E30" s="4">
        <f t="shared" si="15"/>
        <v>2.7385106341387133</v>
      </c>
      <c r="F30" s="4">
        <f t="shared" si="15"/>
        <v>2.2502402986235319</v>
      </c>
      <c r="G30" s="4">
        <f t="shared" si="15"/>
        <v>1.3200550462609288</v>
      </c>
      <c r="H30" s="4">
        <f t="shared" si="15"/>
        <v>0.55418719211822665</v>
      </c>
      <c r="I30" s="4">
        <v>0</v>
      </c>
      <c r="J30" s="4">
        <v>0</v>
      </c>
      <c r="K30" s="4">
        <v>0</v>
      </c>
      <c r="L30" s="4">
        <f t="shared" si="15"/>
        <v>0.87383783586315233</v>
      </c>
      <c r="M30" s="4">
        <f t="shared" si="15"/>
        <v>1.1739068425114938</v>
      </c>
      <c r="N30" s="4">
        <f t="shared" si="15"/>
        <v>2.1829309877296454</v>
      </c>
      <c r="O30" s="4">
        <f t="shared" si="15"/>
        <v>2.93474327157073</v>
      </c>
      <c r="P30" s="4">
        <f t="shared" si="15"/>
        <v>17.036826134790449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16">D15/$F$3</f>
        <v>7.3357488000000002</v>
      </c>
      <c r="E31" s="4">
        <f t="shared" si="16"/>
        <v>6.9010467980295571</v>
      </c>
      <c r="F31" s="4">
        <f t="shared" si="16"/>
        <v>5.6706055525312999</v>
      </c>
      <c r="G31" s="4">
        <f t="shared" si="16"/>
        <v>3.3265387165775406</v>
      </c>
      <c r="H31" s="4">
        <f t="shared" si="16"/>
        <v>1.396551724137931</v>
      </c>
      <c r="I31" s="4">
        <v>0</v>
      </c>
      <c r="J31" s="4">
        <v>0</v>
      </c>
      <c r="K31" s="4">
        <v>0</v>
      </c>
      <c r="L31" s="4">
        <f t="shared" si="16"/>
        <v>2.2020713463751438</v>
      </c>
      <c r="M31" s="4">
        <f t="shared" si="16"/>
        <v>2.9582452431289643</v>
      </c>
      <c r="N31" s="4">
        <f t="shared" si="16"/>
        <v>5.5009860890787063</v>
      </c>
      <c r="O31" s="4">
        <f t="shared" si="16"/>
        <v>7.3955530443582385</v>
      </c>
      <c r="P31" s="4">
        <f t="shared" si="16"/>
        <v>42.932801859671933</v>
      </c>
    </row>
    <row r="32" spans="1:28" ht="12" customHeight="1" x14ac:dyDescent="0.3">
      <c r="B32" s="47" t="s">
        <v>44</v>
      </c>
      <c r="C32" s="47" t="s">
        <v>48</v>
      </c>
      <c r="D32" s="4">
        <f>1000*D28/D11</f>
        <v>3.8353246753246757</v>
      </c>
      <c r="E32" s="4">
        <f t="shared" ref="E32:P32" si="17">1000*E28/E11</f>
        <v>3.9177548414001624</v>
      </c>
      <c r="F32" s="4">
        <f t="shared" si="17"/>
        <v>3.623575360102306</v>
      </c>
      <c r="G32" s="4">
        <f t="shared" si="17"/>
        <v>3.2755708343943644</v>
      </c>
      <c r="H32" s="4">
        <f t="shared" si="17"/>
        <v>3.358710255261979</v>
      </c>
      <c r="I32" s="4">
        <v>0</v>
      </c>
      <c r="J32" s="4">
        <v>0</v>
      </c>
      <c r="K32" s="4">
        <v>0</v>
      </c>
      <c r="L32" s="4">
        <f t="shared" si="17"/>
        <v>4.7491186731693062</v>
      </c>
      <c r="M32" s="4">
        <f t="shared" si="17"/>
        <v>3.0412094365582742</v>
      </c>
      <c r="N32" s="4">
        <f t="shared" si="17"/>
        <v>3.9980421020689474</v>
      </c>
      <c r="O32" s="4">
        <f t="shared" si="17"/>
        <v>4.2409584849288002</v>
      </c>
      <c r="P32" s="4">
        <f t="shared" si="17"/>
        <v>2.304570543362233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4500*1.1</f>
        <v>4950</v>
      </c>
      <c r="E36" s="11" t="s">
        <v>26</v>
      </c>
      <c r="F36" s="51">
        <f>D36/$D$38</f>
        <v>0.58806058806058803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3467.5</v>
      </c>
      <c r="E37" s="55" t="s">
        <v>26</v>
      </c>
      <c r="F37" s="51">
        <f>D37/$D$38</f>
        <v>0.41193941193941191</v>
      </c>
      <c r="G37" s="11" t="s">
        <v>54</v>
      </c>
      <c r="H37" s="4"/>
      <c r="I37" s="4"/>
      <c r="J37" s="4"/>
      <c r="K37" s="4">
        <f>K36-D36</f>
        <v>3616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8417.5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0.42213401821153396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0.30049445298541572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114" si="18">DAYS360(B50,B51)</f>
        <v>11</v>
      </c>
      <c r="F51" s="4">
        <f t="shared" ref="F51:F104" si="19">(D51-D50)/E51</f>
        <v>8.1400000000000023</v>
      </c>
      <c r="G51" s="13">
        <v>195</v>
      </c>
      <c r="H51" s="57">
        <f t="shared" ref="H51:H56" si="20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8"/>
        <v>46</v>
      </c>
      <c r="F52" s="4">
        <f t="shared" si="19"/>
        <v>10.755217391304347</v>
      </c>
      <c r="G52" s="13">
        <v>1116</v>
      </c>
      <c r="H52" s="57">
        <f t="shared" si="20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8"/>
        <v>30</v>
      </c>
      <c r="F53" s="4">
        <f t="shared" si="19"/>
        <v>9.9096666666666646</v>
      </c>
      <c r="G53" s="13">
        <v>459</v>
      </c>
      <c r="H53" s="57">
        <f t="shared" si="20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8"/>
        <v>13</v>
      </c>
      <c r="F54" s="4">
        <f t="shared" si="19"/>
        <v>12.971538461538453</v>
      </c>
      <c r="G54" s="4">
        <v>173</v>
      </c>
      <c r="H54" s="57">
        <f t="shared" si="20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8"/>
        <v>56</v>
      </c>
      <c r="F55" s="4">
        <f t="shared" si="19"/>
        <v>10.850714285714288</v>
      </c>
      <c r="G55" s="4">
        <v>537</v>
      </c>
      <c r="H55" s="57">
        <f t="shared" si="20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8"/>
        <v>23</v>
      </c>
      <c r="F56" s="4">
        <f t="shared" si="19"/>
        <v>3.4986956521739043</v>
      </c>
      <c r="G56" s="4">
        <v>78.2</v>
      </c>
      <c r="H56" s="57">
        <f t="shared" si="20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8"/>
        <v>11</v>
      </c>
      <c r="F57" s="4">
        <f t="shared" si="19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8"/>
        <v>26</v>
      </c>
      <c r="F58" s="4">
        <f t="shared" si="19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8"/>
        <v>30</v>
      </c>
      <c r="F59" s="4">
        <f t="shared" si="19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8"/>
        <v>7</v>
      </c>
      <c r="F60" s="4">
        <f t="shared" si="19"/>
        <v>2.2728571428571223</v>
      </c>
      <c r="G60" s="4">
        <f>3.8*7</f>
        <v>26.599999999999998</v>
      </c>
      <c r="H60" s="57">
        <f t="shared" ref="H60:H76" si="21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8"/>
        <v>40</v>
      </c>
      <c r="F61" s="4">
        <f t="shared" si="19"/>
        <v>4.4192499999999999</v>
      </c>
      <c r="G61" s="4">
        <f>7*40</f>
        <v>280</v>
      </c>
      <c r="H61" s="57">
        <f t="shared" si="21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8"/>
        <v>21</v>
      </c>
      <c r="F62" s="4">
        <f t="shared" si="19"/>
        <v>8.9847619047618963</v>
      </c>
      <c r="G62" s="4">
        <f>21*12.5</f>
        <v>262.5</v>
      </c>
      <c r="H62" s="57">
        <f t="shared" si="21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8"/>
        <v>83</v>
      </c>
      <c r="F63" s="4">
        <f t="shared" si="19"/>
        <v>8.7620481927710845</v>
      </c>
      <c r="G63" s="4">
        <v>1643</v>
      </c>
      <c r="H63" s="57">
        <f t="shared" si="21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8"/>
        <v>65</v>
      </c>
      <c r="F64" s="4">
        <f t="shared" si="19"/>
        <v>8.8218461538461543</v>
      </c>
      <c r="G64" s="4">
        <f>524+505+80</f>
        <v>1109</v>
      </c>
      <c r="H64" s="57">
        <f t="shared" si="21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8"/>
        <v>28</v>
      </c>
      <c r="F65" s="4">
        <f t="shared" si="19"/>
        <v>6.7735714285714392</v>
      </c>
      <c r="G65" s="4">
        <v>372</v>
      </c>
      <c r="H65" s="57">
        <f t="shared" si="21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8"/>
        <v>21</v>
      </c>
      <c r="F66" s="4">
        <f t="shared" si="19"/>
        <v>4.8628571428571377</v>
      </c>
      <c r="G66" s="4">
        <v>125</v>
      </c>
      <c r="H66" s="57">
        <f t="shared" si="21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8"/>
        <v>31</v>
      </c>
      <c r="F67" s="4">
        <f t="shared" si="19"/>
        <v>2.5290322580645044</v>
      </c>
      <c r="G67" s="4">
        <v>8</v>
      </c>
      <c r="H67" s="57">
        <f t="shared" si="21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8"/>
        <v>52</v>
      </c>
      <c r="F68" s="4">
        <f t="shared" si="19"/>
        <v>1.4932692307692412</v>
      </c>
      <c r="G68" s="4">
        <v>5</v>
      </c>
      <c r="H68" s="57">
        <f t="shared" si="21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8"/>
        <v>61</v>
      </c>
      <c r="F69" s="4">
        <f t="shared" si="19"/>
        <v>3.4193442622950809</v>
      </c>
      <c r="G69" s="4">
        <f>70+18*(17-4)</f>
        <v>304</v>
      </c>
      <c r="H69" s="57">
        <f t="shared" si="21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8"/>
        <v>50</v>
      </c>
      <c r="F70" s="4">
        <f t="shared" si="19"/>
        <v>8.3852000000000046</v>
      </c>
      <c r="G70" s="4">
        <f>13.5*50</f>
        <v>675</v>
      </c>
      <c r="H70" s="57">
        <f t="shared" si="21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8"/>
        <v>15</v>
      </c>
      <c r="F71" s="4">
        <f t="shared" si="19"/>
        <v>8.0666666666666664</v>
      </c>
      <c r="G71" s="4">
        <f>14*15</f>
        <v>210</v>
      </c>
      <c r="H71" s="57">
        <f t="shared" si="21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8"/>
        <v>80</v>
      </c>
      <c r="F72" s="4">
        <f t="shared" si="19"/>
        <v>3.9747499999999945</v>
      </c>
      <c r="G72" s="4">
        <f>552+969</f>
        <v>1521</v>
      </c>
      <c r="H72" s="57">
        <f t="shared" si="21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8"/>
        <v>46</v>
      </c>
      <c r="F73" s="4">
        <f t="shared" si="19"/>
        <v>6.8530434782608651</v>
      </c>
      <c r="G73" s="4">
        <f>561+376</f>
        <v>937</v>
      </c>
      <c r="H73" s="57">
        <f t="shared" si="21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8"/>
        <v>30</v>
      </c>
      <c r="F74" s="4">
        <f t="shared" si="19"/>
        <v>2.7056666666666689</v>
      </c>
      <c r="G74" s="4">
        <v>23</v>
      </c>
      <c r="H74" s="57">
        <f t="shared" si="21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8"/>
        <v>32</v>
      </c>
      <c r="F75" s="4">
        <f t="shared" si="19"/>
        <v>1.9846875000000068</v>
      </c>
      <c r="G75" s="4">
        <v>37</v>
      </c>
      <c r="H75" s="57">
        <f t="shared" si="21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8"/>
        <v>27</v>
      </c>
      <c r="F76" s="4">
        <f t="shared" si="19"/>
        <v>1.7807407407407381</v>
      </c>
      <c r="G76" s="4">
        <v>0</v>
      </c>
      <c r="H76" s="57" t="e">
        <f t="shared" si="21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8"/>
        <v>14</v>
      </c>
      <c r="F77" s="4">
        <f t="shared" si="19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8"/>
        <v>22</v>
      </c>
      <c r="F78" s="4">
        <f t="shared" si="19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8"/>
        <v>48</v>
      </c>
      <c r="F79" s="4">
        <f t="shared" si="19"/>
        <v>4.2625000000000073</v>
      </c>
      <c r="G79" s="4">
        <f>125+234</f>
        <v>359</v>
      </c>
      <c r="H79" s="57">
        <f t="shared" ref="H79:H85" si="22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8"/>
        <v>69</v>
      </c>
      <c r="F80" s="4">
        <f t="shared" si="19"/>
        <v>7.9052173913043484</v>
      </c>
      <c r="G80" s="4">
        <v>1172</v>
      </c>
      <c r="H80" s="57">
        <f t="shared" si="22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8"/>
        <v>14</v>
      </c>
      <c r="F81" s="4">
        <f t="shared" si="19"/>
        <v>1.9807142857142546</v>
      </c>
      <c r="G81" s="4">
        <v>363</v>
      </c>
      <c r="H81" s="57">
        <f t="shared" si="22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8"/>
        <v>15</v>
      </c>
      <c r="F82" s="4">
        <f t="shared" si="19"/>
        <v>5.7480000000000171</v>
      </c>
      <c r="G82" s="4">
        <v>310</v>
      </c>
      <c r="H82" s="57">
        <f t="shared" si="22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si="18"/>
        <v>27</v>
      </c>
      <c r="F83" s="4">
        <f t="shared" si="19"/>
        <v>6.6633333333333278</v>
      </c>
      <c r="G83" s="4">
        <v>600</v>
      </c>
      <c r="H83" s="57">
        <f t="shared" si="22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18"/>
        <v>50</v>
      </c>
      <c r="F84" s="4">
        <f t="shared" si="19"/>
        <v>8.6689999999999969</v>
      </c>
      <c r="G84" s="4">
        <v>840</v>
      </c>
      <c r="H84" s="57">
        <f t="shared" si="22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18"/>
        <v>21</v>
      </c>
      <c r="F85" s="4">
        <f t="shared" si="19"/>
        <v>6.3404761904762168</v>
      </c>
      <c r="G85" s="4">
        <v>230</v>
      </c>
      <c r="H85" s="57">
        <f t="shared" si="22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18"/>
        <v>34</v>
      </c>
      <c r="F86" s="4">
        <f t="shared" si="19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18"/>
        <v>11</v>
      </c>
      <c r="F87" s="4">
        <f t="shared" si="19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18"/>
        <v>9</v>
      </c>
      <c r="F88" s="4">
        <f t="shared" si="19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18"/>
        <v>34</v>
      </c>
      <c r="F89" s="4">
        <f t="shared" si="19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18"/>
        <v>40</v>
      </c>
      <c r="F90" s="4">
        <f t="shared" si="19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18"/>
        <v>22</v>
      </c>
      <c r="F91" s="4">
        <f t="shared" si="19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18"/>
        <v>27</v>
      </c>
      <c r="F92" s="4">
        <f t="shared" si="19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18"/>
        <v>57</v>
      </c>
      <c r="F93" s="4">
        <f t="shared" si="19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>
        <v>43155</v>
      </c>
      <c r="D94" s="4">
        <v>9122.02</v>
      </c>
      <c r="E94" s="13">
        <f t="shared" si="18"/>
        <v>54</v>
      </c>
      <c r="F94" s="4">
        <f t="shared" si="19"/>
        <v>4.896111111111134</v>
      </c>
      <c r="G94" s="4">
        <v>1320</v>
      </c>
      <c r="H94" s="57">
        <f>(D94-D93)/G94</f>
        <v>0.20029545454545547</v>
      </c>
      <c r="I94" s="4"/>
      <c r="J94" s="4"/>
      <c r="K94" s="4"/>
      <c r="L94" s="4"/>
      <c r="M94" s="4"/>
      <c r="N94" s="4">
        <f>D94-D93</f>
        <v>264.39000000000124</v>
      </c>
      <c r="O94" s="4"/>
      <c r="P94" s="4"/>
    </row>
    <row r="95" spans="2:16" ht="12" customHeight="1" x14ac:dyDescent="0.25">
      <c r="B95" s="56">
        <v>43184</v>
      </c>
      <c r="D95" s="4">
        <v>9294.3700000000008</v>
      </c>
      <c r="E95" s="13">
        <f t="shared" si="18"/>
        <v>31</v>
      </c>
      <c r="F95" s="4">
        <f t="shared" si="19"/>
        <v>5.5596774193548502</v>
      </c>
      <c r="G95" s="4">
        <v>723</v>
      </c>
      <c r="H95" s="57">
        <f>(D95-D94)/G95</f>
        <v>0.23838174273858972</v>
      </c>
      <c r="I95" s="4"/>
      <c r="J95" s="4"/>
      <c r="K95" s="4"/>
      <c r="L95" s="4"/>
      <c r="M95" s="4"/>
      <c r="N95" s="4">
        <f>D95-D94</f>
        <v>172.35000000000036</v>
      </c>
      <c r="O95" s="4"/>
      <c r="P95" s="4">
        <f>D94-D83</f>
        <v>2005.7700000000004</v>
      </c>
    </row>
    <row r="96" spans="2:16" ht="12" customHeight="1" x14ac:dyDescent="0.25">
      <c r="B96" s="56">
        <v>43217</v>
      </c>
      <c r="D96" s="4">
        <v>9530.9</v>
      </c>
      <c r="E96" s="13">
        <f t="shared" si="18"/>
        <v>32</v>
      </c>
      <c r="F96" s="4">
        <f t="shared" si="19"/>
        <v>7.3915624999999636</v>
      </c>
      <c r="G96" s="4"/>
      <c r="H96" s="4"/>
      <c r="I96" s="4"/>
      <c r="J96" s="4"/>
      <c r="K96" s="4"/>
      <c r="L96" s="4"/>
      <c r="M96" s="4"/>
      <c r="N96" s="4">
        <f>D96-D95</f>
        <v>236.52999999999884</v>
      </c>
      <c r="O96" s="4"/>
      <c r="P96" s="4"/>
    </row>
    <row r="97" spans="2:18" ht="12" customHeight="1" x14ac:dyDescent="0.25">
      <c r="B97" s="56">
        <v>43241</v>
      </c>
      <c r="D97" s="4">
        <v>9598.7999999999993</v>
      </c>
      <c r="E97" s="13">
        <f t="shared" si="18"/>
        <v>24</v>
      </c>
      <c r="F97" s="4">
        <f t="shared" si="19"/>
        <v>2.8291666666666515</v>
      </c>
      <c r="G97" s="4"/>
      <c r="H97" s="4"/>
      <c r="I97" s="4"/>
      <c r="J97" s="4"/>
      <c r="K97" s="4"/>
      <c r="L97" s="4"/>
      <c r="M97" s="4"/>
      <c r="N97" s="4">
        <f>D97-D96</f>
        <v>67.899999999999636</v>
      </c>
      <c r="O97" s="4"/>
      <c r="P97" s="4"/>
      <c r="R97" s="82"/>
    </row>
    <row r="98" spans="2:18" ht="12" customHeight="1" x14ac:dyDescent="0.25">
      <c r="B98" s="56">
        <v>43269</v>
      </c>
      <c r="D98" s="4">
        <v>9628.2800000000007</v>
      </c>
      <c r="E98" s="13">
        <f t="shared" si="18"/>
        <v>27</v>
      </c>
      <c r="F98" s="4">
        <f t="shared" si="19"/>
        <v>1.0918518518519031</v>
      </c>
      <c r="G98" s="4"/>
      <c r="H98" s="4"/>
      <c r="I98" s="4"/>
      <c r="J98" s="4"/>
      <c r="K98" s="4"/>
      <c r="L98" s="4"/>
      <c r="M98" s="4"/>
      <c r="N98" s="4">
        <f>D98-D97</f>
        <v>29.480000000001382</v>
      </c>
      <c r="O98" s="4"/>
      <c r="P98" s="4">
        <f>D98-D87</f>
        <v>1804.2700000000004</v>
      </c>
      <c r="R98" s="82"/>
    </row>
    <row r="99" spans="2:18" ht="12" customHeight="1" x14ac:dyDescent="0.25">
      <c r="B99" s="56">
        <v>43285</v>
      </c>
      <c r="D99" s="4">
        <v>9644.2900000000009</v>
      </c>
      <c r="E99" s="13">
        <f t="shared" si="18"/>
        <v>16</v>
      </c>
      <c r="F99" s="4">
        <f t="shared" si="19"/>
        <v>1.0006250000000136</v>
      </c>
      <c r="G99" s="4"/>
      <c r="H99" s="4"/>
      <c r="I99" s="4"/>
      <c r="J99" s="4"/>
      <c r="K99" s="4"/>
      <c r="L99" s="4"/>
      <c r="M99" s="4"/>
      <c r="N99" s="4"/>
      <c r="O99" s="4"/>
      <c r="P99" s="4"/>
      <c r="R99" s="82"/>
    </row>
    <row r="100" spans="2:18" ht="12" customHeight="1" x14ac:dyDescent="0.25">
      <c r="B100" s="56">
        <v>43298</v>
      </c>
      <c r="D100" s="4">
        <v>9661.08</v>
      </c>
      <c r="E100" s="13">
        <f t="shared" si="18"/>
        <v>13</v>
      </c>
      <c r="F100" s="4">
        <f t="shared" si="19"/>
        <v>1.2915384615383887</v>
      </c>
      <c r="G100" s="4"/>
      <c r="H100" s="4"/>
      <c r="I100" s="4"/>
      <c r="J100" s="4"/>
      <c r="K100" s="4"/>
      <c r="L100" s="4"/>
      <c r="M100" s="4"/>
      <c r="N100" s="4">
        <f>D100-D99</f>
        <v>16.789999999999054</v>
      </c>
      <c r="O100" s="4"/>
      <c r="P100" s="4"/>
      <c r="R100" s="82"/>
    </row>
    <row r="101" spans="2:18" ht="12" customHeight="1" x14ac:dyDescent="0.25">
      <c r="B101" s="56">
        <v>43317</v>
      </c>
      <c r="D101" s="4">
        <v>9702.4</v>
      </c>
      <c r="E101" s="13">
        <f t="shared" si="18"/>
        <v>18</v>
      </c>
      <c r="F101" s="4">
        <f t="shared" si="19"/>
        <v>2.2955555555555396</v>
      </c>
      <c r="G101" s="4"/>
      <c r="H101" s="4"/>
      <c r="I101" s="4"/>
      <c r="J101" s="4"/>
      <c r="K101" s="4"/>
      <c r="L101" s="4"/>
      <c r="M101" s="4"/>
      <c r="N101" s="4">
        <f>D101-D99</f>
        <v>58.109999999998763</v>
      </c>
      <c r="O101" s="4"/>
      <c r="P101" s="4">
        <f>D101-D89</f>
        <v>1831.29</v>
      </c>
      <c r="R101" s="82"/>
    </row>
    <row r="102" spans="2:18" ht="12" customHeight="1" x14ac:dyDescent="0.25">
      <c r="B102" s="56">
        <v>43364</v>
      </c>
      <c r="D102" s="4">
        <v>9762.31</v>
      </c>
      <c r="E102" s="13">
        <f t="shared" si="18"/>
        <v>46</v>
      </c>
      <c r="F102" s="4">
        <f t="shared" si="19"/>
        <v>1.302391304347823</v>
      </c>
      <c r="G102" s="4"/>
      <c r="H102" s="4"/>
      <c r="I102" s="4"/>
      <c r="J102" s="4"/>
      <c r="K102" s="4"/>
      <c r="L102" s="4"/>
      <c r="M102" s="4"/>
      <c r="N102" s="4">
        <f>D102-D101</f>
        <v>59.909999999999854</v>
      </c>
      <c r="O102" s="4"/>
      <c r="P102" s="4">
        <f>D102-D90</f>
        <v>1812.3099999999995</v>
      </c>
      <c r="R102" s="82"/>
    </row>
    <row r="103" spans="2:18" ht="12" customHeight="1" x14ac:dyDescent="0.25">
      <c r="B103" s="56">
        <v>43401</v>
      </c>
      <c r="D103" s="4">
        <v>9930.7800000000007</v>
      </c>
      <c r="E103" s="13">
        <f t="shared" si="18"/>
        <v>37</v>
      </c>
      <c r="F103" s="4">
        <f t="shared" si="19"/>
        <v>4.5532432432432746</v>
      </c>
      <c r="G103" s="4"/>
      <c r="H103" s="4"/>
      <c r="I103" s="4"/>
      <c r="J103" s="4"/>
      <c r="K103" s="4"/>
      <c r="L103" s="4"/>
      <c r="M103" s="4"/>
      <c r="N103" s="4">
        <f>D103-D101</f>
        <v>228.38000000000102</v>
      </c>
      <c r="O103" s="4"/>
      <c r="P103" s="4"/>
      <c r="Q103" s="14"/>
      <c r="R103" s="82"/>
    </row>
    <row r="104" spans="2:18" ht="12" customHeight="1" x14ac:dyDescent="0.25">
      <c r="B104" s="56">
        <v>43442</v>
      </c>
      <c r="D104" s="4">
        <v>10300.530000000001</v>
      </c>
      <c r="E104" s="13">
        <f t="shared" si="18"/>
        <v>40</v>
      </c>
      <c r="F104" s="4">
        <f t="shared" si="19"/>
        <v>9.2437500000000004</v>
      </c>
      <c r="G104" s="4">
        <f>SUM(M11:N11)</f>
        <v>791</v>
      </c>
      <c r="H104" s="57">
        <f>(D104-D103)/G104</f>
        <v>0.46744627054361565</v>
      </c>
      <c r="I104" s="4"/>
      <c r="J104" s="4"/>
      <c r="K104" s="4"/>
      <c r="L104" s="4"/>
      <c r="M104" s="4"/>
      <c r="N104" s="4">
        <f>D104-D103</f>
        <v>369.75</v>
      </c>
      <c r="O104" s="4"/>
      <c r="P104" s="4"/>
      <c r="R104" s="82"/>
    </row>
    <row r="105" spans="2:18" ht="12" customHeight="1" x14ac:dyDescent="0.25">
      <c r="B105" s="56">
        <v>43464</v>
      </c>
      <c r="D105" s="4">
        <v>531.5</v>
      </c>
      <c r="E105" s="13">
        <f t="shared" si="18"/>
        <v>22</v>
      </c>
      <c r="F105" s="4">
        <f>(D105-D104+10000)/E105</f>
        <v>10.498636363636335</v>
      </c>
      <c r="G105" s="4"/>
      <c r="H105" s="4"/>
      <c r="I105" s="4"/>
      <c r="J105" s="4"/>
      <c r="K105" s="4"/>
      <c r="L105" s="4"/>
      <c r="M105" s="4"/>
      <c r="N105" s="4">
        <f>D105-D104+10000</f>
        <v>230.96999999999935</v>
      </c>
      <c r="O105" s="4"/>
      <c r="P105" s="4">
        <f>D105-D93+10000</f>
        <v>1673.8700000000008</v>
      </c>
      <c r="R105" s="82"/>
    </row>
    <row r="106" spans="2:18" ht="12" customHeight="1" x14ac:dyDescent="0.25">
      <c r="B106" s="56">
        <v>43547</v>
      </c>
      <c r="D106" s="4">
        <v>994.26</v>
      </c>
      <c r="E106" s="13">
        <f t="shared" si="18"/>
        <v>83</v>
      </c>
      <c r="F106" s="4">
        <f t="shared" ref="F106:F163" si="23">(D106-D105)/E106</f>
        <v>5.5754216867469877</v>
      </c>
      <c r="G106" s="4"/>
      <c r="H106" s="4"/>
      <c r="I106" s="4"/>
      <c r="J106" s="4"/>
      <c r="K106" s="4"/>
      <c r="L106" s="4"/>
      <c r="M106" s="4"/>
      <c r="N106" s="4">
        <f t="shared" ref="N106:N155" si="24">D106-D105</f>
        <v>462.76</v>
      </c>
      <c r="O106" s="4"/>
      <c r="P106" s="4">
        <f>D106-D95+10000</f>
        <v>1699.8899999999994</v>
      </c>
      <c r="R106" s="82"/>
    </row>
    <row r="107" spans="2:18" ht="12" customHeight="1" x14ac:dyDescent="0.25">
      <c r="B107" s="56">
        <v>43582</v>
      </c>
      <c r="D107" s="4">
        <v>1190.8699999999999</v>
      </c>
      <c r="E107" s="13">
        <f t="shared" si="18"/>
        <v>34</v>
      </c>
      <c r="F107" s="4">
        <f t="shared" si="23"/>
        <v>5.7826470588235264</v>
      </c>
      <c r="G107" s="4"/>
      <c r="H107" s="4"/>
      <c r="I107" s="4"/>
      <c r="J107" s="4"/>
      <c r="K107" s="4"/>
      <c r="L107" s="4"/>
      <c r="M107" s="4"/>
      <c r="N107" s="4">
        <f t="shared" si="24"/>
        <v>196.6099999999999</v>
      </c>
      <c r="O107" s="4"/>
      <c r="P107" s="4">
        <f>D107-D96+10000</f>
        <v>1659.9700000000012</v>
      </c>
      <c r="R107" s="82"/>
    </row>
    <row r="108" spans="2:18" ht="12" customHeight="1" x14ac:dyDescent="0.25">
      <c r="B108" s="56">
        <v>43622</v>
      </c>
      <c r="D108" s="4">
        <v>1333.82</v>
      </c>
      <c r="E108" s="13">
        <f t="shared" si="18"/>
        <v>39</v>
      </c>
      <c r="F108" s="4">
        <f t="shared" si="23"/>
        <v>3.6653846153846166</v>
      </c>
      <c r="G108" s="4"/>
      <c r="H108" s="4"/>
      <c r="I108" s="4"/>
      <c r="J108" s="4"/>
      <c r="K108" s="4"/>
      <c r="L108" s="4"/>
      <c r="M108" s="4"/>
      <c r="N108" s="4">
        <f t="shared" si="24"/>
        <v>142.95000000000005</v>
      </c>
      <c r="O108" s="4"/>
      <c r="P108" s="4">
        <f>D108-D98+10000</f>
        <v>1705.5399999999991</v>
      </c>
      <c r="R108" s="82"/>
    </row>
    <row r="109" spans="2:18" ht="12" customHeight="1" x14ac:dyDescent="0.25">
      <c r="B109" s="56">
        <v>43670</v>
      </c>
      <c r="D109" s="4">
        <v>1398.19</v>
      </c>
      <c r="E109" s="13">
        <f t="shared" si="18"/>
        <v>48</v>
      </c>
      <c r="F109" s="4">
        <f t="shared" si="23"/>
        <v>1.3410416666666691</v>
      </c>
      <c r="G109" s="4"/>
      <c r="H109" s="4"/>
      <c r="I109" s="4"/>
      <c r="J109" s="4"/>
      <c r="K109" s="4"/>
      <c r="L109" s="4"/>
      <c r="M109" s="4"/>
      <c r="N109" s="4">
        <f t="shared" si="24"/>
        <v>64.370000000000118</v>
      </c>
      <c r="O109" s="4"/>
      <c r="P109" s="4"/>
      <c r="R109" s="82"/>
    </row>
    <row r="110" spans="2:18" ht="12" customHeight="1" x14ac:dyDescent="0.25">
      <c r="B110" s="56">
        <v>43681</v>
      </c>
      <c r="D110" s="4">
        <v>1419.41</v>
      </c>
      <c r="E110" s="13">
        <f t="shared" si="18"/>
        <v>10</v>
      </c>
      <c r="F110" s="4">
        <f t="shared" si="23"/>
        <v>2.1220000000000026</v>
      </c>
      <c r="G110" s="4"/>
      <c r="H110" s="4"/>
      <c r="I110" s="4"/>
      <c r="J110" s="4"/>
      <c r="K110" s="4"/>
      <c r="L110" s="4"/>
      <c r="M110" s="4"/>
      <c r="N110" s="4">
        <f t="shared" si="24"/>
        <v>21.220000000000027</v>
      </c>
      <c r="O110" s="4"/>
      <c r="P110" s="4">
        <f>D110-D101+10000</f>
        <v>1717.0100000000002</v>
      </c>
      <c r="R110" s="82"/>
    </row>
    <row r="111" spans="2:18" ht="12" customHeight="1" x14ac:dyDescent="0.3">
      <c r="B111" s="56">
        <v>43744</v>
      </c>
      <c r="D111" s="47">
        <v>1581.94</v>
      </c>
      <c r="E111" s="13">
        <f t="shared" si="18"/>
        <v>62</v>
      </c>
      <c r="F111" s="4">
        <f t="shared" si="23"/>
        <v>2.6214516129032255</v>
      </c>
      <c r="G111" s="4"/>
      <c r="H111" s="4"/>
      <c r="I111" s="4"/>
      <c r="J111" s="4"/>
      <c r="K111" s="4"/>
      <c r="L111" s="4"/>
      <c r="M111" s="4"/>
      <c r="N111" s="4">
        <f t="shared" si="24"/>
        <v>162.52999999999997</v>
      </c>
      <c r="O111" s="4"/>
      <c r="P111" s="4"/>
      <c r="R111" s="82"/>
    </row>
    <row r="112" spans="2:18" ht="12" customHeight="1" x14ac:dyDescent="0.25">
      <c r="B112" s="56">
        <v>43806</v>
      </c>
      <c r="D112" s="4">
        <v>2125.79</v>
      </c>
      <c r="E112" s="13">
        <f t="shared" si="18"/>
        <v>61</v>
      </c>
      <c r="F112" s="4">
        <f t="shared" si="23"/>
        <v>8.9155737704918021</v>
      </c>
      <c r="G112" s="4"/>
      <c r="H112" s="4"/>
      <c r="I112" s="4"/>
      <c r="J112" s="4"/>
      <c r="K112" s="4"/>
      <c r="L112" s="4"/>
      <c r="M112" s="4"/>
      <c r="N112" s="4">
        <f t="shared" si="24"/>
        <v>543.84999999999991</v>
      </c>
      <c r="O112" s="4"/>
      <c r="P112" s="4">
        <f>D112-D104+10000</f>
        <v>1825.2599999999993</v>
      </c>
      <c r="R112" s="82"/>
    </row>
    <row r="113" spans="2:18" ht="12" customHeight="1" x14ac:dyDescent="0.25">
      <c r="B113" s="56">
        <v>43827</v>
      </c>
      <c r="D113" s="4">
        <v>2323.56</v>
      </c>
      <c r="E113" s="13">
        <f t="shared" si="18"/>
        <v>21</v>
      </c>
      <c r="F113" s="4">
        <f t="shared" si="23"/>
        <v>9.4176190476190467</v>
      </c>
      <c r="G113" s="4"/>
      <c r="H113" s="4"/>
      <c r="I113" s="4"/>
      <c r="J113" s="4"/>
      <c r="K113" s="4"/>
      <c r="L113" s="4"/>
      <c r="M113" s="4"/>
      <c r="N113" s="4">
        <f t="shared" si="24"/>
        <v>197.76999999999998</v>
      </c>
      <c r="O113" s="4"/>
      <c r="P113" s="4">
        <f>D113-D105</f>
        <v>1792.06</v>
      </c>
      <c r="R113" s="82"/>
    </row>
    <row r="114" spans="2:18" ht="12" customHeight="1" x14ac:dyDescent="0.25">
      <c r="B114" s="56">
        <v>43876</v>
      </c>
      <c r="D114" s="4">
        <v>2777.25</v>
      </c>
      <c r="E114" s="13">
        <f t="shared" si="18"/>
        <v>47</v>
      </c>
      <c r="F114" s="4">
        <f t="shared" si="23"/>
        <v>9.6529787234042566</v>
      </c>
      <c r="G114" s="4"/>
      <c r="H114" s="4"/>
      <c r="I114" s="4"/>
      <c r="J114" s="4"/>
      <c r="K114" s="4"/>
      <c r="L114" s="4"/>
      <c r="M114" s="4"/>
      <c r="N114" s="4">
        <f t="shared" si="24"/>
        <v>453.69000000000005</v>
      </c>
      <c r="O114" s="4"/>
      <c r="P114" s="4"/>
      <c r="R114" s="82"/>
    </row>
    <row r="115" spans="2:18" ht="12" customHeight="1" x14ac:dyDescent="0.25">
      <c r="B115" s="56">
        <v>43953</v>
      </c>
      <c r="D115" s="4">
        <v>3386.03</v>
      </c>
      <c r="E115" s="13">
        <f t="shared" ref="E115:E163" si="25">DAYS360(B114,B115)</f>
        <v>77</v>
      </c>
      <c r="F115" s="4">
        <f t="shared" si="23"/>
        <v>7.9062337662337692</v>
      </c>
      <c r="G115" s="4"/>
      <c r="H115" s="4"/>
      <c r="I115" s="4"/>
      <c r="J115" s="4"/>
      <c r="K115" s="4"/>
      <c r="L115" s="4"/>
      <c r="M115" s="4"/>
      <c r="N115" s="4">
        <f t="shared" si="24"/>
        <v>608.7800000000002</v>
      </c>
      <c r="O115" s="4"/>
      <c r="P115" s="4">
        <f>D115-D107</f>
        <v>2195.1600000000003</v>
      </c>
      <c r="R115" s="82"/>
    </row>
    <row r="116" spans="2:18" ht="12" customHeight="1" x14ac:dyDescent="0.25">
      <c r="B116" s="56">
        <v>43972</v>
      </c>
      <c r="D116" s="4">
        <v>3469.97</v>
      </c>
      <c r="E116" s="13">
        <f t="shared" si="25"/>
        <v>19</v>
      </c>
      <c r="F116" s="4">
        <f t="shared" si="23"/>
        <v>4.4178947368420838</v>
      </c>
      <c r="G116" s="4"/>
      <c r="H116" s="4"/>
      <c r="I116" s="4"/>
      <c r="J116" s="4"/>
      <c r="K116" s="4"/>
      <c r="L116" s="4"/>
      <c r="M116" s="4"/>
      <c r="N116" s="4">
        <f t="shared" si="24"/>
        <v>83.9399999999996</v>
      </c>
      <c r="O116" s="4"/>
      <c r="P116" s="4"/>
      <c r="R116" s="82"/>
    </row>
    <row r="117" spans="2:18" ht="12" customHeight="1" x14ac:dyDescent="0.25">
      <c r="B117" s="56">
        <v>43994</v>
      </c>
      <c r="D117" s="4">
        <v>3511.84</v>
      </c>
      <c r="E117" s="13">
        <f t="shared" si="25"/>
        <v>21</v>
      </c>
      <c r="F117" s="4">
        <f t="shared" si="23"/>
        <v>1.9938095238095404</v>
      </c>
      <c r="G117" s="4"/>
      <c r="H117" s="4"/>
      <c r="I117" s="4"/>
      <c r="J117" s="4"/>
      <c r="K117" s="4"/>
      <c r="L117" s="4"/>
      <c r="M117" s="4"/>
      <c r="N117" s="4">
        <f t="shared" si="24"/>
        <v>41.870000000000346</v>
      </c>
      <c r="O117" s="4"/>
      <c r="P117" s="4"/>
      <c r="R117" s="82"/>
    </row>
    <row r="118" spans="2:18" ht="12" customHeight="1" x14ac:dyDescent="0.25">
      <c r="B118" s="56">
        <v>44038</v>
      </c>
      <c r="D118" s="4">
        <v>3570.78</v>
      </c>
      <c r="E118" s="13">
        <f t="shared" si="25"/>
        <v>44</v>
      </c>
      <c r="F118" s="4">
        <f t="shared" si="23"/>
        <v>1.3395454545454557</v>
      </c>
      <c r="G118" s="4"/>
      <c r="H118" s="4"/>
      <c r="I118" s="4"/>
      <c r="J118" s="4"/>
      <c r="K118" s="4"/>
      <c r="L118" s="4"/>
      <c r="M118" s="4"/>
      <c r="N118" s="4">
        <f t="shared" si="24"/>
        <v>58.940000000000055</v>
      </c>
      <c r="O118" s="4"/>
      <c r="P118" s="4">
        <f>D118-D109</f>
        <v>2172.59</v>
      </c>
      <c r="R118" s="82"/>
    </row>
    <row r="119" spans="2:18" ht="12" customHeight="1" x14ac:dyDescent="0.25">
      <c r="B119" s="56">
        <v>44072</v>
      </c>
      <c r="D119" s="4">
        <v>3600.26</v>
      </c>
      <c r="E119" s="13">
        <f t="shared" si="25"/>
        <v>33</v>
      </c>
      <c r="F119" s="4">
        <f t="shared" si="23"/>
        <v>0.89333333333333387</v>
      </c>
      <c r="G119" s="4"/>
      <c r="H119" s="4"/>
      <c r="I119" s="4"/>
      <c r="J119" s="4"/>
      <c r="K119" s="4"/>
      <c r="L119" s="4"/>
      <c r="M119" s="4"/>
      <c r="N119" s="4">
        <f t="shared" si="24"/>
        <v>29.480000000000018</v>
      </c>
      <c r="O119" s="4"/>
      <c r="P119" s="4"/>
      <c r="R119" s="82"/>
    </row>
    <row r="120" spans="2:18" ht="12" customHeight="1" x14ac:dyDescent="0.25">
      <c r="B120" s="56">
        <v>44101</v>
      </c>
      <c r="D120" s="4">
        <v>3662.21</v>
      </c>
      <c r="E120" s="13">
        <f t="shared" si="25"/>
        <v>28</v>
      </c>
      <c r="F120" s="4">
        <f t="shared" si="23"/>
        <v>2.2124999999999937</v>
      </c>
      <c r="G120" s="4"/>
      <c r="H120" s="4"/>
      <c r="I120" s="4"/>
      <c r="J120" s="4"/>
      <c r="K120" s="4"/>
      <c r="L120" s="4"/>
      <c r="M120" s="4"/>
      <c r="N120" s="4">
        <f t="shared" si="24"/>
        <v>61.949999999999818</v>
      </c>
      <c r="O120" s="4"/>
      <c r="P120" s="4">
        <f>D120-D111</f>
        <v>2080.27</v>
      </c>
      <c r="R120" s="82"/>
    </row>
    <row r="121" spans="2:18" ht="12" customHeight="1" x14ac:dyDescent="0.25">
      <c r="B121" s="56">
        <v>44117</v>
      </c>
      <c r="D121" s="4">
        <v>3707.35</v>
      </c>
      <c r="E121" s="13">
        <f t="shared" si="25"/>
        <v>16</v>
      </c>
      <c r="F121" s="4">
        <f t="shared" si="23"/>
        <v>2.821249999999992</v>
      </c>
      <c r="G121" s="4"/>
      <c r="H121" s="4"/>
      <c r="I121" s="4"/>
      <c r="J121" s="4"/>
      <c r="K121" s="4"/>
      <c r="L121" s="4"/>
      <c r="M121" s="4"/>
      <c r="N121" s="4">
        <f t="shared" si="24"/>
        <v>45.139999999999873</v>
      </c>
      <c r="O121" s="4"/>
      <c r="P121" s="4">
        <f>D121-D111</f>
        <v>2125.41</v>
      </c>
      <c r="R121" s="82"/>
    </row>
    <row r="122" spans="2:18" ht="12" customHeight="1" x14ac:dyDescent="0.25">
      <c r="B122" s="56">
        <v>44201</v>
      </c>
      <c r="D122" s="4">
        <v>4438.38</v>
      </c>
      <c r="E122" s="13">
        <f t="shared" si="25"/>
        <v>82</v>
      </c>
      <c r="F122" s="4">
        <f t="shared" si="23"/>
        <v>8.9150000000000027</v>
      </c>
      <c r="G122" s="4"/>
      <c r="H122" s="4"/>
      <c r="I122" s="4"/>
      <c r="J122" s="4"/>
      <c r="K122" s="4"/>
      <c r="L122" s="4"/>
      <c r="M122" s="4"/>
      <c r="N122" s="4">
        <f t="shared" si="24"/>
        <v>731.0300000000002</v>
      </c>
      <c r="O122" s="4">
        <f>B122-B113</f>
        <v>374</v>
      </c>
      <c r="P122" s="4">
        <f>D122-D113</f>
        <v>2114.8200000000002</v>
      </c>
      <c r="R122" s="82">
        <f t="shared" ref="R122:R131" si="26">P122/O122*365</f>
        <v>2063.9286096256687</v>
      </c>
    </row>
    <row r="123" spans="2:18" ht="12" customHeight="1" x14ac:dyDescent="0.25">
      <c r="B123" s="56">
        <v>44287</v>
      </c>
      <c r="D123" s="4">
        <v>4926.05</v>
      </c>
      <c r="E123" s="13">
        <f t="shared" si="25"/>
        <v>86</v>
      </c>
      <c r="F123" s="4">
        <f t="shared" si="23"/>
        <v>5.6705813953488384</v>
      </c>
      <c r="G123" s="4"/>
      <c r="H123" s="4"/>
      <c r="I123" s="4"/>
      <c r="J123" s="4"/>
      <c r="K123" s="4"/>
      <c r="L123" s="4"/>
      <c r="M123" s="4"/>
      <c r="N123" s="4">
        <f t="shared" si="24"/>
        <v>487.67000000000007</v>
      </c>
      <c r="O123" s="4">
        <f>B123-B115</f>
        <v>334</v>
      </c>
      <c r="P123" s="4">
        <f>D123-D115</f>
        <v>1540.02</v>
      </c>
      <c r="R123" s="82">
        <f t="shared" si="26"/>
        <v>1682.9559880239522</v>
      </c>
    </row>
    <row r="124" spans="2:18" ht="12" customHeight="1" x14ac:dyDescent="0.25">
      <c r="B124" s="56">
        <v>44332</v>
      </c>
      <c r="D124" s="4">
        <v>5146.6099999999997</v>
      </c>
      <c r="E124" s="13">
        <f t="shared" si="25"/>
        <v>45</v>
      </c>
      <c r="F124" s="4">
        <f t="shared" si="23"/>
        <v>4.901333333333322</v>
      </c>
      <c r="G124" s="4"/>
      <c r="H124" s="4"/>
      <c r="I124" s="4"/>
      <c r="J124" s="4"/>
      <c r="K124" s="4"/>
      <c r="L124" s="4"/>
      <c r="M124" s="4"/>
      <c r="N124" s="4">
        <f t="shared" si="24"/>
        <v>220.55999999999949</v>
      </c>
      <c r="O124" s="4">
        <f>B124-B116</f>
        <v>360</v>
      </c>
      <c r="P124" s="4">
        <f>D124-D116</f>
        <v>1676.6399999999999</v>
      </c>
      <c r="R124" s="82">
        <f t="shared" si="26"/>
        <v>1699.9266666666665</v>
      </c>
    </row>
    <row r="125" spans="2:18" ht="12" customHeight="1" x14ac:dyDescent="0.25">
      <c r="B125" s="56">
        <v>44353</v>
      </c>
      <c r="D125" s="4">
        <v>5199.4399999999996</v>
      </c>
      <c r="E125" s="13">
        <f t="shared" si="25"/>
        <v>20</v>
      </c>
      <c r="F125" s="4">
        <f t="shared" si="23"/>
        <v>2.6414999999999962</v>
      </c>
      <c r="G125" s="4"/>
      <c r="H125" s="4"/>
      <c r="I125" s="4"/>
      <c r="J125" s="4"/>
      <c r="K125" s="4"/>
      <c r="L125" s="4"/>
      <c r="M125" s="4"/>
      <c r="N125" s="4">
        <f t="shared" si="24"/>
        <v>52.829999999999927</v>
      </c>
      <c r="O125" s="4">
        <f>B125-B117</f>
        <v>359</v>
      </c>
      <c r="P125" s="4">
        <f>D125-D117</f>
        <v>1687.5999999999995</v>
      </c>
      <c r="R125" s="82">
        <f t="shared" si="26"/>
        <v>1715.8050139275761</v>
      </c>
    </row>
    <row r="126" spans="2:18" ht="12" customHeight="1" x14ac:dyDescent="0.25">
      <c r="B126" s="56">
        <v>44379</v>
      </c>
      <c r="D126" s="4">
        <v>5251.48</v>
      </c>
      <c r="E126" s="13">
        <f t="shared" si="25"/>
        <v>26</v>
      </c>
      <c r="F126" s="4">
        <f t="shared" si="23"/>
        <v>2.0015384615384599</v>
      </c>
      <c r="G126" s="4"/>
      <c r="H126" s="4"/>
      <c r="I126" s="4"/>
      <c r="J126" s="4"/>
      <c r="K126" s="4"/>
      <c r="L126" s="4"/>
      <c r="M126" s="4"/>
      <c r="N126" s="4">
        <f t="shared" si="24"/>
        <v>52.039999999999964</v>
      </c>
      <c r="O126" s="4">
        <f>B126-B118</f>
        <v>341</v>
      </c>
      <c r="P126" s="4">
        <f>D126-D118</f>
        <v>1680.6999999999994</v>
      </c>
      <c r="R126" s="82">
        <f t="shared" si="26"/>
        <v>1798.9897360703806</v>
      </c>
    </row>
    <row r="127" spans="2:18" ht="12" customHeight="1" x14ac:dyDescent="0.25">
      <c r="B127" s="56">
        <v>44397</v>
      </c>
      <c r="D127" s="4">
        <v>5295.15</v>
      </c>
      <c r="E127" s="13">
        <f t="shared" si="25"/>
        <v>18</v>
      </c>
      <c r="F127" s="4">
        <f t="shared" si="23"/>
        <v>2.4261111111111151</v>
      </c>
      <c r="G127" s="4"/>
      <c r="H127" s="4"/>
      <c r="I127" s="4"/>
      <c r="J127" s="4"/>
      <c r="K127" s="4"/>
      <c r="L127" s="4"/>
      <c r="M127" s="4"/>
      <c r="N127" s="4">
        <f t="shared" si="24"/>
        <v>43.670000000000073</v>
      </c>
      <c r="O127" s="4">
        <f>B127-B118</f>
        <v>359</v>
      </c>
      <c r="P127" s="4">
        <f>D127-D118</f>
        <v>1724.3699999999994</v>
      </c>
      <c r="R127" s="82">
        <f t="shared" si="26"/>
        <v>1753.1895543175483</v>
      </c>
    </row>
    <row r="128" spans="2:18" ht="12" customHeight="1" x14ac:dyDescent="0.25">
      <c r="B128" s="56">
        <v>44428</v>
      </c>
      <c r="D128" s="4">
        <v>5324.43</v>
      </c>
      <c r="E128" s="13">
        <f t="shared" si="25"/>
        <v>30</v>
      </c>
      <c r="F128" s="4">
        <f t="shared" si="23"/>
        <v>0.97600000000002185</v>
      </c>
      <c r="G128" s="4"/>
      <c r="H128" s="4"/>
      <c r="I128" s="4"/>
      <c r="J128" s="4"/>
      <c r="K128" s="4"/>
      <c r="L128" s="4"/>
      <c r="M128" s="4"/>
      <c r="N128" s="4">
        <f t="shared" si="24"/>
        <v>29.280000000000655</v>
      </c>
      <c r="O128" s="4">
        <f>B128-B119</f>
        <v>356</v>
      </c>
      <c r="P128" s="4">
        <f>D128-D119</f>
        <v>1724.17</v>
      </c>
      <c r="R128" s="82">
        <f t="shared" si="26"/>
        <v>1767.7585674157303</v>
      </c>
    </row>
    <row r="129" spans="2:18" ht="12" customHeight="1" x14ac:dyDescent="0.25">
      <c r="B129" s="56">
        <v>44479</v>
      </c>
      <c r="D129" s="4">
        <v>5511.95</v>
      </c>
      <c r="E129" s="13">
        <f t="shared" si="25"/>
        <v>50</v>
      </c>
      <c r="F129" s="4">
        <f t="shared" si="23"/>
        <v>3.7503999999999906</v>
      </c>
      <c r="G129" s="4"/>
      <c r="H129" s="4"/>
      <c r="I129" s="4"/>
      <c r="J129" s="4"/>
      <c r="K129" s="4"/>
      <c r="L129" s="4"/>
      <c r="M129" s="4"/>
      <c r="N129" s="4">
        <f t="shared" si="24"/>
        <v>187.51999999999953</v>
      </c>
      <c r="O129" s="4">
        <f>B129-B121</f>
        <v>362</v>
      </c>
      <c r="P129" s="4">
        <f>D129-D121</f>
        <v>1804.6</v>
      </c>
      <c r="R129" s="82">
        <f t="shared" si="26"/>
        <v>1819.5552486187844</v>
      </c>
    </row>
    <row r="130" spans="2:18" ht="12" customHeight="1" x14ac:dyDescent="0.25">
      <c r="B130" s="58">
        <v>44527</v>
      </c>
      <c r="D130" s="4">
        <v>5819.9</v>
      </c>
      <c r="E130" s="13">
        <f t="shared" si="25"/>
        <v>47</v>
      </c>
      <c r="F130" s="4">
        <f t="shared" si="23"/>
        <v>6.552127659574464</v>
      </c>
      <c r="G130" s="4"/>
      <c r="H130" s="4"/>
      <c r="I130" s="4"/>
      <c r="J130" s="4"/>
      <c r="K130" s="4"/>
      <c r="L130" s="4"/>
      <c r="M130" s="4"/>
      <c r="N130" s="4">
        <f t="shared" si="24"/>
        <v>307.94999999999982</v>
      </c>
      <c r="O130" s="4"/>
      <c r="P130" s="4"/>
      <c r="R130" s="82"/>
    </row>
    <row r="131" spans="2:18" ht="12" customHeight="1" x14ac:dyDescent="0.25">
      <c r="B131" s="56">
        <v>44563</v>
      </c>
      <c r="D131" s="4">
        <v>5910.14</v>
      </c>
      <c r="E131" s="13">
        <f t="shared" si="25"/>
        <v>35</v>
      </c>
      <c r="F131" s="4">
        <f t="shared" si="23"/>
        <v>2.5782857142857338</v>
      </c>
      <c r="G131" s="4"/>
      <c r="H131" s="4"/>
      <c r="I131" s="4"/>
      <c r="J131" s="4"/>
      <c r="K131" s="4"/>
      <c r="L131" s="4"/>
      <c r="M131" s="4"/>
      <c r="N131" s="4">
        <f t="shared" si="24"/>
        <v>90.240000000000691</v>
      </c>
      <c r="O131" s="4">
        <f>B131-B122</f>
        <v>362</v>
      </c>
      <c r="P131" s="4">
        <f>D131-D122</f>
        <v>1471.7600000000002</v>
      </c>
      <c r="R131" s="82">
        <f t="shared" si="26"/>
        <v>1483.9569060773483</v>
      </c>
    </row>
    <row r="132" spans="2:18" ht="12" customHeight="1" x14ac:dyDescent="0.25">
      <c r="B132" s="56">
        <v>44611</v>
      </c>
      <c r="D132" s="4">
        <v>6231.45</v>
      </c>
      <c r="E132" s="13">
        <f t="shared" si="25"/>
        <v>47</v>
      </c>
      <c r="F132" s="4">
        <f t="shared" si="23"/>
        <v>6.8363829787233934</v>
      </c>
      <c r="G132" s="4"/>
      <c r="H132" s="4"/>
      <c r="I132" s="4"/>
      <c r="J132" s="4"/>
      <c r="K132" s="4"/>
      <c r="L132" s="4"/>
      <c r="M132" s="4"/>
      <c r="N132" s="4">
        <f t="shared" si="24"/>
        <v>321.30999999999949</v>
      </c>
      <c r="O132" s="4">
        <f>B132-B122</f>
        <v>410</v>
      </c>
      <c r="P132" s="4"/>
      <c r="R132" s="82"/>
    </row>
    <row r="133" spans="2:18" ht="12" customHeight="1" x14ac:dyDescent="0.25">
      <c r="B133" s="56">
        <v>44657</v>
      </c>
      <c r="C133" s="1" t="s">
        <v>63</v>
      </c>
      <c r="D133" s="4">
        <v>6741</v>
      </c>
      <c r="E133" s="13">
        <f t="shared" si="25"/>
        <v>47</v>
      </c>
      <c r="F133" s="4">
        <f t="shared" si="23"/>
        <v>10.841489361702132</v>
      </c>
      <c r="G133" s="4"/>
      <c r="H133" s="4"/>
      <c r="I133" s="4"/>
      <c r="J133" s="4"/>
      <c r="K133" s="4"/>
      <c r="L133" s="4"/>
      <c r="M133" s="4"/>
      <c r="N133" s="4">
        <f t="shared" si="24"/>
        <v>509.55000000000018</v>
      </c>
      <c r="O133" s="4">
        <f>B133-B123</f>
        <v>370</v>
      </c>
      <c r="P133" s="4">
        <f>D133-D123</f>
        <v>1814.9499999999998</v>
      </c>
      <c r="R133" s="82">
        <f t="shared" ref="R133:R152" si="27">P133/O133*365</f>
        <v>1790.4236486486486</v>
      </c>
    </row>
    <row r="134" spans="2:18" ht="12" customHeight="1" x14ac:dyDescent="0.25">
      <c r="B134" s="56">
        <v>44716</v>
      </c>
      <c r="D134" s="4">
        <v>6824.36</v>
      </c>
      <c r="E134" s="13">
        <f t="shared" si="25"/>
        <v>58</v>
      </c>
      <c r="F134" s="4">
        <f t="shared" si="23"/>
        <v>1.4372413793103391</v>
      </c>
      <c r="G134" s="4"/>
      <c r="H134" s="4"/>
      <c r="I134" s="4"/>
      <c r="J134" s="4"/>
      <c r="K134" s="4"/>
      <c r="L134" s="4"/>
      <c r="M134" s="4"/>
      <c r="N134" s="4">
        <f t="shared" si="24"/>
        <v>83.359999999999673</v>
      </c>
      <c r="O134" s="4">
        <f>B134-B125</f>
        <v>363</v>
      </c>
      <c r="P134" s="4">
        <f>D134-D125</f>
        <v>1624.92</v>
      </c>
      <c r="R134" s="82">
        <f t="shared" si="27"/>
        <v>1633.8727272727274</v>
      </c>
    </row>
    <row r="135" spans="2:18" ht="12" customHeight="1" x14ac:dyDescent="0.25">
      <c r="B135" s="56">
        <v>44752</v>
      </c>
      <c r="D135" s="4">
        <v>6875.85</v>
      </c>
      <c r="E135" s="13">
        <f t="shared" si="25"/>
        <v>36</v>
      </c>
      <c r="F135" s="4">
        <f t="shared" si="23"/>
        <v>1.4302777777777971</v>
      </c>
      <c r="G135" s="4"/>
      <c r="H135" s="4"/>
      <c r="I135" s="4"/>
      <c r="J135" s="4"/>
      <c r="K135" s="4"/>
      <c r="L135" s="4"/>
      <c r="M135" s="4"/>
      <c r="N135" s="4">
        <f t="shared" si="24"/>
        <v>51.490000000000691</v>
      </c>
      <c r="O135" s="4">
        <f>B135-B127</f>
        <v>355</v>
      </c>
      <c r="P135" s="4">
        <f>D135-D127</f>
        <v>1580.7000000000007</v>
      </c>
      <c r="R135" s="82">
        <f t="shared" si="27"/>
        <v>1625.226760563381</v>
      </c>
    </row>
    <row r="136" spans="2:18" ht="12" customHeight="1" x14ac:dyDescent="0.25">
      <c r="B136" s="56">
        <v>44766</v>
      </c>
      <c r="D136" s="4">
        <v>6890.21</v>
      </c>
      <c r="E136" s="13">
        <f t="shared" si="25"/>
        <v>14</v>
      </c>
      <c r="F136" s="4">
        <f t="shared" si="23"/>
        <v>1.0257142857142623</v>
      </c>
      <c r="G136" s="4"/>
      <c r="H136" s="4"/>
      <c r="I136" s="4"/>
      <c r="J136" s="4"/>
      <c r="K136" s="4"/>
      <c r="L136" s="4"/>
      <c r="M136" s="4"/>
      <c r="N136" s="4">
        <f t="shared" si="24"/>
        <v>14.359999999999673</v>
      </c>
      <c r="O136" s="4">
        <f>B136-B127</f>
        <v>369</v>
      </c>
      <c r="P136" s="4">
        <f>D136-D127</f>
        <v>1595.0600000000004</v>
      </c>
      <c r="R136" s="82">
        <f t="shared" si="27"/>
        <v>1577.7693766937673</v>
      </c>
    </row>
    <row r="137" spans="2:18" ht="12" customHeight="1" x14ac:dyDescent="0.25">
      <c r="B137" s="56">
        <v>44793</v>
      </c>
      <c r="D137" s="4">
        <v>6916.32</v>
      </c>
      <c r="E137" s="13">
        <f t="shared" si="25"/>
        <v>26</v>
      </c>
      <c r="F137" s="4">
        <f t="shared" si="23"/>
        <v>1.0042307692307566</v>
      </c>
      <c r="G137" s="4"/>
      <c r="H137" s="4"/>
      <c r="I137" s="4"/>
      <c r="J137" s="4"/>
      <c r="K137" s="4"/>
      <c r="L137" s="4"/>
      <c r="M137" s="4"/>
      <c r="N137" s="4">
        <f t="shared" si="24"/>
        <v>26.109999999999673</v>
      </c>
      <c r="O137" s="4">
        <f>B137-B128</f>
        <v>365</v>
      </c>
      <c r="P137" s="4">
        <f>D137-D128</f>
        <v>1591.8899999999994</v>
      </c>
      <c r="R137" s="82">
        <f t="shared" si="27"/>
        <v>1591.8899999999994</v>
      </c>
    </row>
    <row r="138" spans="2:18" ht="12" customHeight="1" x14ac:dyDescent="0.25">
      <c r="B138" s="56">
        <v>44827</v>
      </c>
      <c r="D138" s="4">
        <v>6991.88</v>
      </c>
      <c r="E138" s="13">
        <f t="shared" si="25"/>
        <v>33</v>
      </c>
      <c r="F138" s="4">
        <f t="shared" si="23"/>
        <v>2.289696969696982</v>
      </c>
      <c r="G138" s="4"/>
      <c r="H138" s="4"/>
      <c r="I138" s="4"/>
      <c r="J138" s="4"/>
      <c r="K138" s="4"/>
      <c r="L138" s="4"/>
      <c r="M138" s="4"/>
      <c r="N138" s="4">
        <f t="shared" si="24"/>
        <v>75.5600000000004</v>
      </c>
      <c r="O138" s="4">
        <f>B137-B128</f>
        <v>365</v>
      </c>
      <c r="P138" s="4">
        <f>D137-D128</f>
        <v>1591.8899999999994</v>
      </c>
      <c r="R138" s="82">
        <f t="shared" si="27"/>
        <v>1591.8899999999994</v>
      </c>
    </row>
    <row r="139" spans="2:18" ht="12" customHeight="1" x14ac:dyDescent="0.25">
      <c r="B139" s="56">
        <v>44852</v>
      </c>
      <c r="D139" s="4">
        <v>7112.02</v>
      </c>
      <c r="E139" s="13">
        <f t="shared" si="25"/>
        <v>25</v>
      </c>
      <c r="F139" s="4">
        <f t="shared" si="23"/>
        <v>4.8056000000000134</v>
      </c>
      <c r="G139" s="4"/>
      <c r="H139" s="4"/>
      <c r="I139" s="4"/>
      <c r="J139" s="4"/>
      <c r="K139" s="4"/>
      <c r="L139" s="4"/>
      <c r="M139" s="4"/>
      <c r="N139" s="4">
        <f t="shared" si="24"/>
        <v>120.14000000000033</v>
      </c>
      <c r="O139" s="4">
        <f>B139-B129</f>
        <v>373</v>
      </c>
      <c r="P139" s="4">
        <f>D139-D129</f>
        <v>1600.0700000000006</v>
      </c>
      <c r="R139" s="82">
        <f t="shared" si="27"/>
        <v>1565.7521447721185</v>
      </c>
    </row>
    <row r="140" spans="2:18" ht="12" customHeight="1" x14ac:dyDescent="0.25">
      <c r="B140" s="56">
        <v>44931</v>
      </c>
      <c r="D140" s="4">
        <v>7681.25</v>
      </c>
      <c r="E140" s="13">
        <f t="shared" si="25"/>
        <v>77</v>
      </c>
      <c r="F140" s="4">
        <f t="shared" si="23"/>
        <v>7.3925974025973966</v>
      </c>
      <c r="G140" s="4"/>
      <c r="H140" s="4"/>
      <c r="I140" s="4"/>
      <c r="J140" s="4"/>
      <c r="K140" s="4"/>
      <c r="L140" s="4"/>
      <c r="M140" s="4"/>
      <c r="N140" s="4">
        <f t="shared" si="24"/>
        <v>569.22999999999956</v>
      </c>
      <c r="O140" s="4">
        <f>B140-B131</f>
        <v>368</v>
      </c>
      <c r="P140" s="4">
        <f>D140-D131</f>
        <v>1771.1099999999997</v>
      </c>
      <c r="R140" s="82">
        <f t="shared" si="27"/>
        <v>1756.6716032608692</v>
      </c>
    </row>
    <row r="141" spans="2:18" ht="12" customHeight="1" x14ac:dyDescent="0.25">
      <c r="B141" s="56">
        <v>44989</v>
      </c>
      <c r="D141" s="4">
        <v>8148.29</v>
      </c>
      <c r="E141" s="13">
        <f t="shared" si="25"/>
        <v>59</v>
      </c>
      <c r="F141" s="4">
        <f t="shared" si="23"/>
        <v>7.9159322033898301</v>
      </c>
      <c r="G141" s="4"/>
      <c r="H141" s="4"/>
      <c r="I141" s="4"/>
      <c r="J141" s="4"/>
      <c r="K141" s="4"/>
      <c r="L141" s="4"/>
      <c r="M141" s="4"/>
      <c r="N141" s="4">
        <f t="shared" si="24"/>
        <v>467.03999999999996</v>
      </c>
      <c r="O141" s="4">
        <f>B141-B132</f>
        <v>378</v>
      </c>
      <c r="P141" s="4">
        <f>D141-D132</f>
        <v>1916.8400000000001</v>
      </c>
      <c r="R141" s="82">
        <f t="shared" si="27"/>
        <v>1850.9169312169313</v>
      </c>
    </row>
    <row r="142" spans="2:18" ht="12" customHeight="1" x14ac:dyDescent="0.25">
      <c r="B142" s="56">
        <v>45025</v>
      </c>
      <c r="D142" s="4">
        <v>8426.2199999999993</v>
      </c>
      <c r="E142" s="13">
        <f t="shared" si="25"/>
        <v>35</v>
      </c>
      <c r="F142" s="4">
        <f t="shared" si="23"/>
        <v>7.9408571428571255</v>
      </c>
      <c r="G142" s="4"/>
      <c r="H142" s="4"/>
      <c r="I142" s="4"/>
      <c r="J142" s="4"/>
      <c r="K142" s="4"/>
      <c r="L142" s="4"/>
      <c r="M142" s="4"/>
      <c r="N142" s="4">
        <f t="shared" si="24"/>
        <v>277.92999999999938</v>
      </c>
      <c r="O142" s="4">
        <f>B142-B133</f>
        <v>368</v>
      </c>
      <c r="P142" s="4">
        <f>D142-D133</f>
        <v>1685.2199999999993</v>
      </c>
      <c r="R142" s="82">
        <f t="shared" si="27"/>
        <v>1671.48179347826</v>
      </c>
    </row>
    <row r="143" spans="2:18" ht="12" customHeight="1" x14ac:dyDescent="0.25">
      <c r="B143" s="56">
        <v>45047</v>
      </c>
      <c r="D143" s="1">
        <v>8517.94</v>
      </c>
      <c r="E143" s="13">
        <f t="shared" si="25"/>
        <v>22</v>
      </c>
      <c r="F143" s="4">
        <f t="shared" si="23"/>
        <v>4.1690909090909622</v>
      </c>
      <c r="G143" s="4"/>
      <c r="H143" s="4"/>
      <c r="I143" s="4"/>
      <c r="J143" s="4"/>
      <c r="K143" s="4"/>
      <c r="L143" s="4"/>
      <c r="M143" s="4"/>
      <c r="N143" s="4">
        <f t="shared" si="24"/>
        <v>91.720000000001164</v>
      </c>
      <c r="O143" s="4">
        <f>B143-B134</f>
        <v>331</v>
      </c>
      <c r="P143" s="4">
        <f>D143-D134</f>
        <v>1693.5800000000008</v>
      </c>
      <c r="R143" s="82">
        <f t="shared" si="27"/>
        <v>1867.5429003021156</v>
      </c>
    </row>
    <row r="144" spans="2:18" ht="12" customHeight="1" x14ac:dyDescent="0.25">
      <c r="B144" s="56">
        <v>45082</v>
      </c>
      <c r="D144" s="4">
        <v>8629.6299999999992</v>
      </c>
      <c r="E144" s="13">
        <f t="shared" si="25"/>
        <v>34</v>
      </c>
      <c r="F144" s="4">
        <f t="shared" si="23"/>
        <v>3.2849999999999615</v>
      </c>
      <c r="G144" s="4"/>
      <c r="H144" s="4"/>
      <c r="I144" s="4"/>
      <c r="J144" s="4"/>
      <c r="K144" s="4"/>
      <c r="L144" s="4"/>
      <c r="M144" s="4"/>
      <c r="N144" s="4">
        <f t="shared" si="24"/>
        <v>111.68999999999869</v>
      </c>
      <c r="O144" s="4">
        <f t="shared" ref="O144:O150" si="28">B144-B134</f>
        <v>366</v>
      </c>
      <c r="P144" s="4">
        <f t="shared" ref="P144:P150" si="29">D144-D134</f>
        <v>1805.2699999999995</v>
      </c>
      <c r="R144" s="82">
        <f t="shared" si="27"/>
        <v>1800.3375683060106</v>
      </c>
    </row>
    <row r="145" spans="2:20" ht="12" customHeight="1" x14ac:dyDescent="0.25">
      <c r="B145" s="56">
        <v>45099</v>
      </c>
      <c r="D145" s="4">
        <v>8659.2099999999991</v>
      </c>
      <c r="E145" s="13">
        <f t="shared" si="25"/>
        <v>17</v>
      </c>
      <c r="F145" s="4">
        <f t="shared" si="23"/>
        <v>1.7399999999999958</v>
      </c>
      <c r="G145" s="4"/>
      <c r="H145" s="4"/>
      <c r="I145" s="4"/>
      <c r="J145" s="4"/>
      <c r="K145" s="4"/>
      <c r="L145" s="4"/>
      <c r="M145" s="4"/>
      <c r="N145" s="4">
        <f t="shared" si="24"/>
        <v>29.579999999999927</v>
      </c>
      <c r="O145" s="4">
        <f t="shared" si="28"/>
        <v>347</v>
      </c>
      <c r="P145" s="4">
        <f t="shared" si="29"/>
        <v>1783.3599999999988</v>
      </c>
      <c r="R145" s="82">
        <f t="shared" si="27"/>
        <v>1875.8685878962522</v>
      </c>
    </row>
    <row r="146" spans="2:20" ht="12" customHeight="1" x14ac:dyDescent="0.25">
      <c r="B146" s="56">
        <v>45122</v>
      </c>
      <c r="D146" s="4">
        <v>8684.2900000000009</v>
      </c>
      <c r="E146" s="13">
        <f t="shared" si="25"/>
        <v>23</v>
      </c>
      <c r="F146" s="4">
        <f t="shared" si="23"/>
        <v>1.0904347826087715</v>
      </c>
      <c r="G146" s="4"/>
      <c r="H146" s="4"/>
      <c r="I146" s="4"/>
      <c r="J146" s="4"/>
      <c r="K146" s="4"/>
      <c r="L146" s="4"/>
      <c r="M146" s="4"/>
      <c r="N146" s="4">
        <f t="shared" si="24"/>
        <v>25.080000000001746</v>
      </c>
      <c r="O146" s="4">
        <f t="shared" si="28"/>
        <v>356</v>
      </c>
      <c r="P146" s="4">
        <f t="shared" si="29"/>
        <v>1794.0800000000008</v>
      </c>
      <c r="R146" s="82">
        <f t="shared" si="27"/>
        <v>1839.4359550561805</v>
      </c>
    </row>
    <row r="147" spans="2:20" ht="12" customHeight="1" x14ac:dyDescent="0.25">
      <c r="B147" s="56">
        <v>45146</v>
      </c>
      <c r="D147" s="4">
        <v>8706.9699999999993</v>
      </c>
      <c r="E147" s="13">
        <f t="shared" si="25"/>
        <v>23</v>
      </c>
      <c r="F147" s="4">
        <f t="shared" si="23"/>
        <v>0.98608695652167266</v>
      </c>
      <c r="G147" s="4"/>
      <c r="H147" s="4"/>
      <c r="I147" s="4"/>
      <c r="J147" s="4"/>
      <c r="K147" s="4"/>
      <c r="L147" s="4"/>
      <c r="M147" s="4"/>
      <c r="N147" s="4">
        <f t="shared" si="24"/>
        <v>22.679999999998472</v>
      </c>
      <c r="O147" s="4">
        <f t="shared" si="28"/>
        <v>353</v>
      </c>
      <c r="P147" s="4">
        <f t="shared" si="29"/>
        <v>1790.6499999999996</v>
      </c>
      <c r="R147" s="82">
        <f t="shared" si="27"/>
        <v>1851.5219546742208</v>
      </c>
    </row>
    <row r="148" spans="2:20" ht="12" customHeight="1" x14ac:dyDescent="0.25">
      <c r="B148" s="56">
        <v>45179</v>
      </c>
      <c r="D148" s="4">
        <v>8743.17</v>
      </c>
      <c r="E148" s="13">
        <f t="shared" si="25"/>
        <v>32</v>
      </c>
      <c r="F148" s="4">
        <f t="shared" si="23"/>
        <v>1.1312500000000227</v>
      </c>
      <c r="G148" s="4"/>
      <c r="H148" s="4"/>
      <c r="I148" s="4"/>
      <c r="J148" s="4"/>
      <c r="K148" s="4"/>
      <c r="L148" s="4"/>
      <c r="M148" s="4"/>
      <c r="N148" s="4">
        <f t="shared" si="24"/>
        <v>36.200000000000728</v>
      </c>
      <c r="O148" s="4">
        <f t="shared" si="28"/>
        <v>352</v>
      </c>
      <c r="P148" s="4">
        <f t="shared" si="29"/>
        <v>1751.29</v>
      </c>
      <c r="R148" s="82">
        <f t="shared" si="27"/>
        <v>1815.9683238636364</v>
      </c>
    </row>
    <row r="149" spans="2:20" ht="12" customHeight="1" x14ac:dyDescent="0.25">
      <c r="B149" s="56">
        <v>45234</v>
      </c>
      <c r="D149" s="4">
        <v>9075.84</v>
      </c>
      <c r="E149" s="13">
        <f t="shared" si="25"/>
        <v>54</v>
      </c>
      <c r="F149" s="4">
        <f t="shared" si="23"/>
        <v>6.1605555555555567</v>
      </c>
      <c r="G149" s="4"/>
      <c r="H149" s="4"/>
      <c r="I149" s="4"/>
      <c r="J149" s="4"/>
      <c r="K149" s="4"/>
      <c r="L149" s="4"/>
      <c r="M149" s="4"/>
      <c r="N149" s="4">
        <f t="shared" si="24"/>
        <v>332.67000000000007</v>
      </c>
      <c r="O149" s="4">
        <f t="shared" si="28"/>
        <v>382</v>
      </c>
      <c r="P149" s="4">
        <f t="shared" si="29"/>
        <v>1963.8199999999997</v>
      </c>
      <c r="R149" s="82">
        <f t="shared" si="27"/>
        <v>1876.4248691099476</v>
      </c>
    </row>
    <row r="150" spans="2:20" ht="12" customHeight="1" x14ac:dyDescent="0.25">
      <c r="B150" s="56">
        <v>45259</v>
      </c>
      <c r="D150" s="4">
        <v>9217.2900000000009</v>
      </c>
      <c r="E150" s="13">
        <f t="shared" si="25"/>
        <v>25</v>
      </c>
      <c r="F150" s="4">
        <f t="shared" si="23"/>
        <v>5.6580000000000288</v>
      </c>
      <c r="G150" s="4"/>
      <c r="H150" s="4"/>
      <c r="I150" s="4"/>
      <c r="J150" s="4"/>
      <c r="K150" s="4"/>
      <c r="L150" s="4"/>
      <c r="M150" s="4"/>
      <c r="N150" s="4">
        <f t="shared" si="24"/>
        <v>141.45000000000073</v>
      </c>
      <c r="O150" s="4">
        <f t="shared" si="28"/>
        <v>328</v>
      </c>
      <c r="P150" s="4">
        <f t="shared" si="29"/>
        <v>1536.0400000000009</v>
      </c>
      <c r="R150" s="82">
        <f t="shared" si="27"/>
        <v>1709.3128048780495</v>
      </c>
    </row>
    <row r="151" spans="2:20" ht="12" customHeight="1" x14ac:dyDescent="0.25">
      <c r="B151" s="56">
        <v>45289</v>
      </c>
      <c r="D151" s="4">
        <v>9614.07</v>
      </c>
      <c r="E151" s="13">
        <f t="shared" si="25"/>
        <v>30</v>
      </c>
      <c r="F151" s="4">
        <f t="shared" si="23"/>
        <v>13.225999999999962</v>
      </c>
      <c r="G151" s="4"/>
      <c r="H151" s="4"/>
      <c r="I151" s="4"/>
      <c r="J151" s="4"/>
      <c r="K151" s="4"/>
      <c r="L151" s="4"/>
      <c r="M151" s="4"/>
      <c r="N151" s="4">
        <f t="shared" si="24"/>
        <v>396.77999999999884</v>
      </c>
      <c r="O151" s="4">
        <f>B151-B140</f>
        <v>358</v>
      </c>
      <c r="P151" s="4">
        <f>D151-D140</f>
        <v>1932.8199999999997</v>
      </c>
      <c r="R151" s="82">
        <f t="shared" si="27"/>
        <v>1970.612569832402</v>
      </c>
    </row>
    <row r="152" spans="2:20" ht="12" customHeight="1" x14ac:dyDescent="0.25">
      <c r="B152" s="56">
        <v>45331</v>
      </c>
      <c r="D152" s="4">
        <v>10288.6</v>
      </c>
      <c r="E152" s="13">
        <f t="shared" si="25"/>
        <v>40</v>
      </c>
      <c r="F152" s="4">
        <f t="shared" si="23"/>
        <v>16.863250000000015</v>
      </c>
      <c r="G152" s="4"/>
      <c r="H152" s="4"/>
      <c r="I152" s="4"/>
      <c r="J152" s="4"/>
      <c r="K152" s="4"/>
      <c r="L152" s="4"/>
      <c r="M152" s="4"/>
      <c r="N152" s="4">
        <f t="shared" si="24"/>
        <v>674.53000000000065</v>
      </c>
      <c r="O152" s="4">
        <f>B152-B140</f>
        <v>400</v>
      </c>
      <c r="P152" s="4">
        <f>D152-D141</f>
        <v>2140.3100000000004</v>
      </c>
      <c r="R152" s="82">
        <f t="shared" si="27"/>
        <v>1953.0328750000006</v>
      </c>
    </row>
    <row r="153" spans="2:20" ht="12" customHeight="1" x14ac:dyDescent="0.25">
      <c r="B153" s="56">
        <v>45360</v>
      </c>
      <c r="D153" s="4">
        <v>10601.19</v>
      </c>
      <c r="E153" s="13">
        <f t="shared" si="25"/>
        <v>30</v>
      </c>
      <c r="F153" s="4">
        <f t="shared" si="23"/>
        <v>10.419666666666672</v>
      </c>
      <c r="G153" s="4"/>
      <c r="H153" s="4"/>
      <c r="I153" s="4"/>
      <c r="J153" s="4"/>
      <c r="K153" s="4"/>
      <c r="L153" s="4"/>
      <c r="M153" s="4"/>
      <c r="N153" s="4">
        <f t="shared" si="24"/>
        <v>312.59000000000015</v>
      </c>
      <c r="O153" s="4">
        <f>B153-B141</f>
        <v>371</v>
      </c>
      <c r="P153" s="4">
        <f>D153-D141</f>
        <v>2452.9000000000005</v>
      </c>
      <c r="R153" s="82">
        <f t="shared" ref="R153:R163" si="30">P153/O153*365</f>
        <v>2413.2304582210245</v>
      </c>
    </row>
    <row r="154" spans="2:20" ht="12" customHeight="1" x14ac:dyDescent="0.25">
      <c r="B154" s="56">
        <v>45384</v>
      </c>
      <c r="D154" s="4">
        <v>10758.12</v>
      </c>
      <c r="E154" s="13">
        <f t="shared" si="25"/>
        <v>23</v>
      </c>
      <c r="F154" s="4">
        <f t="shared" si="23"/>
        <v>6.8230434782608826</v>
      </c>
      <c r="G154" s="4"/>
      <c r="H154" s="4"/>
      <c r="I154" s="4"/>
      <c r="J154" s="4"/>
      <c r="K154" s="4"/>
      <c r="L154" s="4"/>
      <c r="M154" s="4"/>
      <c r="N154" s="4">
        <f t="shared" si="24"/>
        <v>156.93000000000029</v>
      </c>
      <c r="O154" s="4">
        <f>B154-B142</f>
        <v>359</v>
      </c>
      <c r="P154" s="4">
        <f>D154-D142</f>
        <v>2331.9000000000015</v>
      </c>
      <c r="R154" s="82">
        <f t="shared" si="30"/>
        <v>2370.8732590529262</v>
      </c>
      <c r="T154" s="77"/>
    </row>
    <row r="155" spans="2:20" ht="12" customHeight="1" x14ac:dyDescent="0.25">
      <c r="B155" s="56">
        <v>45398</v>
      </c>
      <c r="D155" s="4">
        <v>10831.66</v>
      </c>
      <c r="E155" s="13">
        <f t="shared" si="25"/>
        <v>14</v>
      </c>
      <c r="F155" s="4">
        <f t="shared" si="23"/>
        <v>5.2528571428570752</v>
      </c>
      <c r="G155" s="4"/>
      <c r="H155" s="4"/>
      <c r="I155" s="4"/>
      <c r="J155" s="4"/>
      <c r="K155" s="4"/>
      <c r="L155" s="4"/>
      <c r="M155" s="4"/>
      <c r="N155" s="4">
        <f t="shared" si="24"/>
        <v>73.539999999999054</v>
      </c>
      <c r="O155" s="4">
        <f>B155-B142</f>
        <v>373</v>
      </c>
      <c r="P155" s="4">
        <f>D155-D142</f>
        <v>2405.4400000000005</v>
      </c>
      <c r="R155" s="82">
        <f t="shared" si="30"/>
        <v>2353.848793565684</v>
      </c>
    </row>
    <row r="156" spans="2:20" ht="12" customHeight="1" x14ac:dyDescent="0.25">
      <c r="B156" s="56">
        <v>45459</v>
      </c>
      <c r="D156" s="4">
        <v>10986.64</v>
      </c>
      <c r="E156" s="13">
        <f t="shared" si="25"/>
        <v>60</v>
      </c>
      <c r="F156" s="4">
        <f t="shared" si="23"/>
        <v>2.5829999999999926</v>
      </c>
      <c r="G156" s="4"/>
      <c r="H156" s="4"/>
      <c r="I156" s="4"/>
      <c r="J156" s="4"/>
      <c r="K156" s="4"/>
      <c r="L156" s="4"/>
      <c r="M156" s="4"/>
      <c r="N156" s="4">
        <f>D156-D155</f>
        <v>154.97999999999956</v>
      </c>
      <c r="O156" s="4">
        <f>B156-B145</f>
        <v>360</v>
      </c>
      <c r="P156" s="4">
        <f>D156-D145</f>
        <v>2327.4300000000003</v>
      </c>
      <c r="R156" s="82">
        <f t="shared" si="30"/>
        <v>2359.7554166666669</v>
      </c>
    </row>
    <row r="157" spans="2:20" ht="12" customHeight="1" x14ac:dyDescent="0.25">
      <c r="B157" s="56">
        <v>45472</v>
      </c>
      <c r="D157" s="4">
        <v>10996.2</v>
      </c>
      <c r="E157" s="13">
        <f t="shared" si="25"/>
        <v>13</v>
      </c>
      <c r="F157" s="4">
        <f t="shared" si="23"/>
        <v>0.73538461538471611</v>
      </c>
      <c r="G157" s="4"/>
      <c r="H157" s="4"/>
      <c r="I157" s="4"/>
      <c r="J157" s="4"/>
      <c r="K157" s="4"/>
      <c r="L157" s="4"/>
      <c r="M157" s="4"/>
      <c r="N157" s="4">
        <f>D157-D156</f>
        <v>9.5600000000013097</v>
      </c>
      <c r="O157" s="4">
        <f>B157-B145</f>
        <v>373</v>
      </c>
      <c r="P157" s="4">
        <f>D157-D145</f>
        <v>2336.9900000000016</v>
      </c>
      <c r="R157" s="82">
        <f t="shared" si="30"/>
        <v>2286.8668900804305</v>
      </c>
    </row>
    <row r="158" spans="2:20" ht="12" customHeight="1" x14ac:dyDescent="0.25">
      <c r="B158" s="56">
        <v>45500</v>
      </c>
      <c r="D158" s="4">
        <v>11011.17</v>
      </c>
      <c r="E158" s="13">
        <f t="shared" si="25"/>
        <v>28</v>
      </c>
      <c r="F158" s="4">
        <f t="shared" si="23"/>
        <v>0.53464285714283377</v>
      </c>
      <c r="G158" s="4"/>
      <c r="H158" s="4"/>
      <c r="I158" s="4"/>
      <c r="J158" s="4"/>
      <c r="K158" s="4"/>
      <c r="L158" s="4"/>
      <c r="M158" s="4"/>
      <c r="N158" s="4">
        <f>D158-D157</f>
        <v>14.969999999999345</v>
      </c>
      <c r="O158" s="4">
        <f>B158-B147</f>
        <v>354</v>
      </c>
      <c r="P158" s="4">
        <f>D158-D147</f>
        <v>2304.2000000000007</v>
      </c>
      <c r="R158" s="82">
        <f t="shared" si="30"/>
        <v>2375.7994350282493</v>
      </c>
    </row>
    <row r="159" spans="2:20" ht="12" customHeight="1" x14ac:dyDescent="0.25">
      <c r="B159" s="56">
        <v>45522</v>
      </c>
      <c r="D159" s="4">
        <v>11017.25</v>
      </c>
      <c r="E159" s="13">
        <f t="shared" si="25"/>
        <v>21</v>
      </c>
      <c r="F159" s="4">
        <f t="shared" si="23"/>
        <v>0.28952380952380607</v>
      </c>
      <c r="G159" s="4"/>
      <c r="H159" s="4"/>
      <c r="I159" s="4"/>
      <c r="J159" s="4"/>
      <c r="K159" s="4"/>
      <c r="L159" s="4"/>
      <c r="M159" s="4"/>
      <c r="N159" s="4">
        <f>D159-D156</f>
        <v>30.610000000000582</v>
      </c>
      <c r="O159" s="4">
        <f>B159-B147</f>
        <v>376</v>
      </c>
      <c r="P159" s="4">
        <f t="shared" ref="P159:P164" si="31">D159-D147</f>
        <v>2310.2800000000007</v>
      </c>
      <c r="R159" s="82">
        <f t="shared" si="30"/>
        <v>2242.6920212765967</v>
      </c>
    </row>
    <row r="160" spans="2:20" ht="12" customHeight="1" x14ac:dyDescent="0.25">
      <c r="B160" s="56">
        <v>45536</v>
      </c>
      <c r="D160" s="4">
        <v>11022.12</v>
      </c>
      <c r="E160" s="13">
        <f t="shared" si="25"/>
        <v>13</v>
      </c>
      <c r="F160" s="4">
        <f t="shared" si="23"/>
        <v>0.37461538461544619</v>
      </c>
      <c r="G160" s="4"/>
      <c r="H160" s="4"/>
      <c r="I160" s="4"/>
      <c r="J160" s="4"/>
      <c r="K160" s="4"/>
      <c r="L160" s="4"/>
      <c r="M160" s="4"/>
      <c r="N160" s="4">
        <f>D160-D157</f>
        <v>25.920000000000073</v>
      </c>
      <c r="O160" s="4">
        <f>B160-B148</f>
        <v>357</v>
      </c>
      <c r="P160" s="4">
        <f t="shared" si="31"/>
        <v>2278.9500000000007</v>
      </c>
      <c r="R160" s="82">
        <f t="shared" si="30"/>
        <v>2330.018907563026</v>
      </c>
    </row>
    <row r="161" spans="2:20" ht="12" customHeight="1" x14ac:dyDescent="0.25">
      <c r="B161" s="56">
        <v>45574</v>
      </c>
      <c r="D161" s="4">
        <v>11096.08</v>
      </c>
      <c r="E161" s="13">
        <f t="shared" si="25"/>
        <v>38</v>
      </c>
      <c r="F161" s="4">
        <f t="shared" si="23"/>
        <v>1.9463157894736611</v>
      </c>
      <c r="G161" s="4"/>
      <c r="H161" s="4"/>
      <c r="I161" s="4"/>
      <c r="J161" s="4"/>
      <c r="K161" s="4"/>
      <c r="L161" s="4"/>
      <c r="M161" s="4"/>
      <c r="N161" s="4">
        <f t="shared" ref="N161:N166" si="32">D161-D160</f>
        <v>73.959999999999127</v>
      </c>
      <c r="O161" s="4">
        <f>B161-B149</f>
        <v>340</v>
      </c>
      <c r="P161" s="4">
        <f t="shared" si="31"/>
        <v>2020.2399999999998</v>
      </c>
      <c r="R161" s="82">
        <f t="shared" si="30"/>
        <v>2168.7870588235292</v>
      </c>
    </row>
    <row r="162" spans="2:20" ht="12" customHeight="1" x14ac:dyDescent="0.25">
      <c r="B162" s="56">
        <v>45606</v>
      </c>
      <c r="D162" s="4">
        <v>11280.89</v>
      </c>
      <c r="E162" s="13">
        <f t="shared" si="25"/>
        <v>31</v>
      </c>
      <c r="F162" s="4">
        <f t="shared" si="23"/>
        <v>5.9616129032257899</v>
      </c>
      <c r="G162" s="4"/>
      <c r="H162" s="4"/>
      <c r="I162" s="4"/>
      <c r="J162" s="4"/>
      <c r="K162" s="4"/>
      <c r="L162" s="4"/>
      <c r="M162" s="4"/>
      <c r="N162" s="4">
        <f t="shared" si="32"/>
        <v>184.80999999999949</v>
      </c>
      <c r="O162" s="4">
        <f>B162-B149</f>
        <v>372</v>
      </c>
      <c r="P162" s="4">
        <f t="shared" si="31"/>
        <v>2063.5999999999985</v>
      </c>
      <c r="R162" s="82">
        <f t="shared" si="30"/>
        <v>2024.7688172042997</v>
      </c>
    </row>
    <row r="163" spans="2:20" ht="12" customHeight="1" x14ac:dyDescent="0.25">
      <c r="B163" s="56">
        <v>45661</v>
      </c>
      <c r="D163" s="4">
        <v>11758.47</v>
      </c>
      <c r="E163" s="13">
        <f t="shared" si="25"/>
        <v>54</v>
      </c>
      <c r="F163" s="4">
        <f t="shared" si="23"/>
        <v>8.8440740740740722</v>
      </c>
      <c r="G163" s="4"/>
      <c r="H163" s="4"/>
      <c r="I163" s="4"/>
      <c r="J163" s="4"/>
      <c r="K163" s="4"/>
      <c r="L163" s="4"/>
      <c r="M163" s="4"/>
      <c r="N163" s="4">
        <f t="shared" si="32"/>
        <v>477.57999999999993</v>
      </c>
      <c r="O163" s="4">
        <f>B163-B151</f>
        <v>372</v>
      </c>
      <c r="P163" s="4">
        <f t="shared" si="31"/>
        <v>2144.3999999999996</v>
      </c>
      <c r="R163" s="82">
        <f t="shared" si="30"/>
        <v>2104.0483870967737</v>
      </c>
      <c r="S163" s="78"/>
      <c r="T163" s="77"/>
    </row>
    <row r="164" spans="2:20" ht="12" customHeight="1" x14ac:dyDescent="0.25">
      <c r="B164" s="56">
        <v>45711</v>
      </c>
      <c r="D164" s="4">
        <v>12325.77</v>
      </c>
      <c r="E164" s="13">
        <f t="shared" ref="E164" si="33">DAYS360(B163,B164)</f>
        <v>49</v>
      </c>
      <c r="F164" s="4">
        <f t="shared" ref="F164" si="34">(D164-D163)/E164</f>
        <v>11.577551020408185</v>
      </c>
      <c r="G164" s="4"/>
      <c r="H164" s="4"/>
      <c r="I164" s="4"/>
      <c r="J164" s="4"/>
      <c r="K164" s="4"/>
      <c r="L164" s="4"/>
      <c r="M164" s="4"/>
      <c r="N164" s="4">
        <f t="shared" si="32"/>
        <v>567.30000000000109</v>
      </c>
      <c r="O164" s="4">
        <f>B164-B152</f>
        <v>380</v>
      </c>
      <c r="P164" s="4">
        <f t="shared" si="31"/>
        <v>2037.17</v>
      </c>
      <c r="R164" s="82">
        <f t="shared" ref="R164:R170" si="35">P164/O164*365</f>
        <v>1956.7553947368424</v>
      </c>
    </row>
    <row r="165" spans="2:20" ht="12" customHeight="1" x14ac:dyDescent="0.25">
      <c r="B165" s="56">
        <v>45736</v>
      </c>
      <c r="D165" s="4">
        <v>12530.59</v>
      </c>
      <c r="E165" s="13">
        <f t="shared" ref="E165" si="36">DAYS360(B164,B165)</f>
        <v>27</v>
      </c>
      <c r="F165" s="4">
        <f t="shared" ref="F165" si="37">(D165-D164)/E165</f>
        <v>7.5859259259259151</v>
      </c>
      <c r="G165" s="4"/>
      <c r="H165" s="4"/>
      <c r="I165" s="4"/>
      <c r="J165" s="4"/>
      <c r="K165" s="4"/>
      <c r="L165" s="4"/>
      <c r="M165" s="4"/>
      <c r="N165" s="4">
        <f t="shared" si="32"/>
        <v>204.81999999999971</v>
      </c>
      <c r="O165" s="4">
        <f>B165-B154</f>
        <v>352</v>
      </c>
      <c r="P165" s="4">
        <f>D165-D154</f>
        <v>1772.4699999999993</v>
      </c>
      <c r="R165" s="82">
        <f t="shared" si="35"/>
        <v>1837.9305397727264</v>
      </c>
    </row>
    <row r="166" spans="2:20" ht="12" customHeight="1" x14ac:dyDescent="0.25">
      <c r="B166" s="56">
        <v>45807</v>
      </c>
      <c r="D166" s="4">
        <v>12802.96</v>
      </c>
      <c r="E166" s="13">
        <f t="shared" ref="E166" si="38">DAYS360(B165,B166)</f>
        <v>70</v>
      </c>
      <c r="F166" s="4">
        <f t="shared" ref="F166" si="39">(D166-D165)/E166</f>
        <v>3.8909999999999854</v>
      </c>
      <c r="G166" s="4"/>
      <c r="H166" s="4"/>
      <c r="I166" s="4"/>
      <c r="J166" s="4"/>
      <c r="K166" s="4"/>
      <c r="L166" s="4"/>
      <c r="M166" s="4"/>
      <c r="N166" s="4">
        <f t="shared" si="32"/>
        <v>272.36999999999898</v>
      </c>
      <c r="O166" s="4">
        <f>B166-B156</f>
        <v>348</v>
      </c>
      <c r="P166" s="4">
        <f>D166-D156</f>
        <v>1816.3199999999997</v>
      </c>
      <c r="R166" s="82">
        <f t="shared" si="35"/>
        <v>1905.0482758620685</v>
      </c>
    </row>
    <row r="167" spans="2:20" ht="12" customHeight="1" x14ac:dyDescent="0.25">
      <c r="B167" s="56">
        <v>45837</v>
      </c>
      <c r="D167" s="4">
        <v>12818.99</v>
      </c>
      <c r="E167" s="13">
        <f t="shared" ref="E167" si="40">DAYS360(B166,B167)</f>
        <v>29</v>
      </c>
      <c r="F167" s="4">
        <f t="shared" ref="F167" si="41">(D167-D166)/E167</f>
        <v>0.55275862068967774</v>
      </c>
      <c r="G167" s="4"/>
      <c r="H167" s="4"/>
      <c r="I167" s="4"/>
      <c r="J167" s="4"/>
      <c r="K167" s="4"/>
      <c r="L167" s="4"/>
      <c r="M167" s="4"/>
      <c r="N167" s="4">
        <f>D167-D166</f>
        <v>16.030000000000655</v>
      </c>
      <c r="O167" s="4">
        <f>B167-B157</f>
        <v>365</v>
      </c>
      <c r="P167" s="4">
        <f>D167-D157</f>
        <v>1822.7899999999991</v>
      </c>
      <c r="R167" s="82">
        <f t="shared" si="35"/>
        <v>1822.7899999999991</v>
      </c>
    </row>
    <row r="168" spans="2:20" ht="12" customHeight="1" x14ac:dyDescent="0.25">
      <c r="B168" s="56">
        <v>45869</v>
      </c>
      <c r="D168" s="4">
        <v>12855.72</v>
      </c>
      <c r="E168" s="13">
        <f t="shared" ref="E168" si="42">DAYS360(B167,B168)</f>
        <v>32</v>
      </c>
      <c r="F168" s="4">
        <f t="shared" ref="F168" si="43">(D168-D167)/E168</f>
        <v>1.1478124999999864</v>
      </c>
      <c r="G168" s="79"/>
      <c r="H168" s="4"/>
      <c r="I168" s="4"/>
      <c r="J168" s="4"/>
      <c r="K168" s="4"/>
      <c r="L168" s="4"/>
      <c r="M168" s="4"/>
      <c r="N168" s="4">
        <f>D168-D167</f>
        <v>36.729999999999563</v>
      </c>
      <c r="O168" s="4">
        <f>B168-B158</f>
        <v>369</v>
      </c>
      <c r="P168" s="4">
        <f>D168-D158</f>
        <v>1844.5499999999993</v>
      </c>
      <c r="R168" s="82">
        <f t="shared" si="35"/>
        <v>1824.55487804878</v>
      </c>
    </row>
    <row r="169" spans="2:20" ht="12" customHeight="1" x14ac:dyDescent="0.25">
      <c r="B169" s="56">
        <v>45928</v>
      </c>
      <c r="D169" s="4">
        <v>12915.65</v>
      </c>
      <c r="E169" s="13">
        <f t="shared" ref="E169:E170" si="44">DAYS360(B168,B169)</f>
        <v>58</v>
      </c>
      <c r="F169" s="4">
        <f t="shared" ref="F169:F170" si="45">(D169-D168)/E169</f>
        <v>1.0332758620689706</v>
      </c>
      <c r="G169" s="4"/>
      <c r="H169" s="4"/>
      <c r="I169" s="4"/>
      <c r="J169" s="4"/>
      <c r="K169" s="4"/>
      <c r="L169" s="4"/>
      <c r="M169" s="4"/>
      <c r="N169" s="4">
        <f t="shared" ref="N169:N170" si="46">D169-D168</f>
        <v>59.930000000000291</v>
      </c>
      <c r="O169" s="4">
        <f>B169-B161</f>
        <v>354</v>
      </c>
      <c r="P169" s="4">
        <f>D169-D161</f>
        <v>1819.5699999999997</v>
      </c>
      <c r="R169" s="82">
        <f t="shared" si="35"/>
        <v>1876.1103107344632</v>
      </c>
    </row>
    <row r="170" spans="2:20" ht="12" customHeight="1" x14ac:dyDescent="0.25">
      <c r="B170" s="56">
        <v>45983</v>
      </c>
      <c r="D170" s="4">
        <v>13228.83</v>
      </c>
      <c r="E170" s="13">
        <f t="shared" si="44"/>
        <v>54</v>
      </c>
      <c r="F170" s="4">
        <f t="shared" si="45"/>
        <v>5.799629629629635</v>
      </c>
      <c r="G170" s="4"/>
      <c r="H170" s="4"/>
      <c r="I170" s="4"/>
      <c r="J170" s="4"/>
      <c r="K170" s="4"/>
      <c r="L170" s="4"/>
      <c r="M170" s="4"/>
      <c r="N170" s="4">
        <f t="shared" si="46"/>
        <v>313.18000000000029</v>
      </c>
      <c r="O170" s="4">
        <f>B170-B162</f>
        <v>377</v>
      </c>
      <c r="P170" s="4">
        <f>D170-D162</f>
        <v>1947.9400000000005</v>
      </c>
      <c r="R170" s="82">
        <f t="shared" si="35"/>
        <v>1885.9366047745361</v>
      </c>
    </row>
    <row r="171" spans="2:20" ht="12" customHeight="1" x14ac:dyDescent="0.25">
      <c r="B171" s="5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2:20" ht="12" customHeight="1" x14ac:dyDescent="0.25">
      <c r="B172" s="5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2:20" ht="12" customHeight="1" x14ac:dyDescent="0.25">
      <c r="B173" s="5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2:20" ht="12" customHeight="1" x14ac:dyDescent="0.25">
      <c r="B174" s="5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2:20" ht="12" customHeight="1" x14ac:dyDescent="0.25">
      <c r="B175" s="5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2:20" ht="12" customHeight="1" x14ac:dyDescent="0.25">
      <c r="B176" s="5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2:16" ht="12" customHeight="1" x14ac:dyDescent="0.25">
      <c r="B177" s="5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2:16" ht="12" customHeight="1" x14ac:dyDescent="0.25">
      <c r="B178" s="5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2:16" ht="12" customHeight="1" x14ac:dyDescent="0.25">
      <c r="B179" s="5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2:16" ht="12" customHeight="1" x14ac:dyDescent="0.25">
      <c r="B180" s="5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2:16" ht="12" customHeight="1" x14ac:dyDescent="0.25">
      <c r="B181" s="5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2:16" ht="12" customHeight="1" x14ac:dyDescent="0.25">
      <c r="B182" s="5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2:16" ht="12" customHeight="1" x14ac:dyDescent="0.25">
      <c r="B183" s="5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2:16" ht="12" customHeight="1" x14ac:dyDescent="0.25">
      <c r="B184" s="5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2:16" ht="12" customHeight="1" x14ac:dyDescent="0.25">
      <c r="B185" s="5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2:16" ht="12" customHeight="1" x14ac:dyDescent="0.25">
      <c r="B186" s="5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2:16" ht="12" customHeight="1" x14ac:dyDescent="0.25">
      <c r="B187" s="5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2:16" ht="12" customHeight="1" x14ac:dyDescent="0.25">
      <c r="B188" s="5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2:16" ht="12" customHeight="1" x14ac:dyDescent="0.25">
      <c r="B189" s="5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2:16" ht="12" customHeight="1" x14ac:dyDescent="0.25">
      <c r="B190" s="5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2:16" ht="12" customHeight="1" x14ac:dyDescent="0.25">
      <c r="B191" s="5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2:16" ht="12" customHeight="1" x14ac:dyDescent="0.25">
      <c r="B192" s="5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 r:id="rId1"/>
  <headerFooter>
    <oddHeader>&amp;R&amp;D</oddHeader>
    <oddFooter>&amp;LEnergiaekspertti Janne Tiainen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7" zoomScaleNormal="100" workbookViewId="0"/>
  </sheetViews>
  <sheetFormatPr defaultColWidth="8.5546875" defaultRowHeight="13.2" x14ac:dyDescent="0.25"/>
  <sheetData/>
  <pageMargins left="0.7" right="0.7" top="0.75" bottom="0.75" header="0.511811023622047" footer="0.511811023622047"/>
  <pageSetup paperSize="77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6" zoomScaleNormal="100" workbookViewId="0"/>
  </sheetViews>
  <sheetFormatPr defaultColWidth="8.5546875" defaultRowHeight="13.2" x14ac:dyDescent="0.25"/>
  <sheetData/>
  <pageMargins left="0.7" right="0.7" top="0.75" bottom="0.75" header="0.511811023622047" footer="0.511811023622047"/>
  <pageSetup paperSize="77" orientation="landscape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/>
  </sheetViews>
  <sheetFormatPr defaultColWidth="8.5546875" defaultRowHeight="13.2" x14ac:dyDescent="0.25"/>
  <sheetData/>
  <pageMargins left="0.7" right="0.7" top="0.75" bottom="0.75" header="0.511811023622047" footer="0.511811023622047"/>
  <pageSetup paperSize="77" orientation="landscape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/>
  </sheetViews>
  <sheetFormatPr defaultColWidth="8.5546875" defaultRowHeight="13.2" x14ac:dyDescent="0.25"/>
  <sheetData/>
  <pageMargins left="0.7" right="0.7" top="0.75" bottom="0.75" header="0.511811023622047" footer="0.511811023622047"/>
  <pageSetup paperSize="77" orientation="landscape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zoomScale="90" zoomScaleNormal="90" workbookViewId="0">
      <selection activeCell="R22" sqref="R22"/>
    </sheetView>
  </sheetViews>
  <sheetFormatPr defaultColWidth="14.44140625" defaultRowHeight="13.2" x14ac:dyDescent="0.25"/>
  <cols>
    <col min="1" max="1" width="8.6640625" style="1" customWidth="1"/>
    <col min="2" max="2" width="23.44140625" style="1" customWidth="1"/>
    <col min="3" max="3" width="6.5546875" style="1" customWidth="1"/>
    <col min="4" max="4" width="10.33203125" style="1" customWidth="1"/>
    <col min="5" max="15" width="9.33203125" style="1" customWidth="1"/>
    <col min="16" max="18" width="10.5546875" style="1" customWidth="1"/>
    <col min="19" max="19" width="8.6640625" style="1" customWidth="1"/>
    <col min="20" max="20" width="11.5546875" style="1" customWidth="1"/>
    <col min="21" max="25" width="8.6640625" style="1" customWidth="1"/>
    <col min="26" max="26" width="14.6640625" style="1" customWidth="1"/>
    <col min="27" max="28" width="8.6640625" style="1" customWidth="1"/>
    <col min="29" max="16384" width="14.44140625" style="1"/>
  </cols>
  <sheetData>
    <row r="1" spans="1:28" ht="18" customHeight="1" x14ac:dyDescent="0.3">
      <c r="A1" s="2" t="s">
        <v>0</v>
      </c>
      <c r="D1" s="3">
        <v>2024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5"/>
      <c r="S1" s="6"/>
      <c r="T1" s="7"/>
    </row>
    <row r="2" spans="1:28" ht="11.25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5"/>
      <c r="S2" s="9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92</v>
      </c>
      <c r="I3" s="4"/>
      <c r="J3" s="4"/>
      <c r="K3" s="4">
        <v>9.5</v>
      </c>
      <c r="L3" s="11" t="s">
        <v>5</v>
      </c>
      <c r="M3" s="4"/>
      <c r="N3" s="4"/>
      <c r="O3" s="4"/>
      <c r="P3" s="4"/>
      <c r="Q3" s="8"/>
      <c r="R3" s="12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(SUM(I9:K9)-SUM(I10:K10))/92</f>
        <v>9.0668152173913032</v>
      </c>
      <c r="L4" s="11" t="s">
        <v>5</v>
      </c>
      <c r="M4" s="11"/>
      <c r="N4" s="11"/>
      <c r="O4" s="11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customHeight="1" x14ac:dyDescent="0.25">
      <c r="A7" s="19"/>
      <c r="B7" s="20"/>
      <c r="C7" s="21"/>
      <c r="D7" s="22">
        <v>31</v>
      </c>
      <c r="E7" s="22">
        <v>29</v>
      </c>
      <c r="F7" s="22">
        <v>31</v>
      </c>
      <c r="G7" s="22">
        <v>30</v>
      </c>
      <c r="H7" s="22">
        <v>31</v>
      </c>
      <c r="I7" s="22">
        <v>30</v>
      </c>
      <c r="J7" s="22">
        <v>31</v>
      </c>
      <c r="K7" s="22">
        <v>31</v>
      </c>
      <c r="L7" s="22">
        <v>30</v>
      </c>
      <c r="M7" s="22">
        <v>31</v>
      </c>
      <c r="N7" s="22">
        <v>30</v>
      </c>
      <c r="O7" s="22">
        <v>31</v>
      </c>
      <c r="P7" s="23">
        <f>SUM(D7:O7)</f>
        <v>366</v>
      </c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2.75" customHeight="1" x14ac:dyDescent="0.25">
      <c r="A8" s="25">
        <v>2024</v>
      </c>
      <c r="B8" s="26" t="s">
        <v>23</v>
      </c>
      <c r="C8" s="27" t="s">
        <v>24</v>
      </c>
      <c r="D8" s="28">
        <v>-10.1</v>
      </c>
      <c r="E8" s="28">
        <v>-5.8</v>
      </c>
      <c r="F8" s="28">
        <v>0.2</v>
      </c>
      <c r="G8" s="28">
        <v>2.9</v>
      </c>
      <c r="H8" s="28">
        <v>13.2</v>
      </c>
      <c r="I8" s="28">
        <v>17.3</v>
      </c>
      <c r="J8" s="28">
        <v>18.899999999999999</v>
      </c>
      <c r="K8" s="28">
        <v>17</v>
      </c>
      <c r="L8" s="28">
        <v>14.7</v>
      </c>
      <c r="M8" s="28">
        <v>6.6</v>
      </c>
      <c r="N8" s="28">
        <v>1.2</v>
      </c>
      <c r="O8" s="28">
        <v>-2.5</v>
      </c>
      <c r="P8" s="28">
        <f>AVERAGE(D8:O8)</f>
        <v>6.1333333333333329</v>
      </c>
      <c r="T8" s="29"/>
      <c r="U8" s="8"/>
      <c r="Z8" s="83"/>
      <c r="AA8" s="83"/>
    </row>
    <row r="9" spans="1:28" ht="12" customHeight="1" x14ac:dyDescent="0.25">
      <c r="A9" s="25">
        <v>2024</v>
      </c>
      <c r="B9" s="26" t="s">
        <v>25</v>
      </c>
      <c r="C9" s="30" t="s">
        <v>26</v>
      </c>
      <c r="D9" s="31">
        <v>1213.4690000000001</v>
      </c>
      <c r="E9" s="31">
        <v>988.65300000000002</v>
      </c>
      <c r="F9" s="32">
        <v>762.22500000000002</v>
      </c>
      <c r="G9" s="32">
        <v>644.74400000000003</v>
      </c>
      <c r="H9" s="32">
        <v>409.399</v>
      </c>
      <c r="I9" s="32">
        <v>326.53599999999994</v>
      </c>
      <c r="J9" s="38">
        <v>287.84300000000002</v>
      </c>
      <c r="K9" s="38">
        <v>267.76799999999997</v>
      </c>
      <c r="L9" s="32">
        <v>313.99599999999998</v>
      </c>
      <c r="M9" s="81">
        <v>490.01499999999999</v>
      </c>
      <c r="N9" s="81">
        <v>723.79100000000005</v>
      </c>
      <c r="O9" s="32">
        <v>1011.066</v>
      </c>
      <c r="P9" s="33">
        <f>SUM(D9:O9)</f>
        <v>7439.5050000000001</v>
      </c>
      <c r="Q9" s="34"/>
      <c r="R9" s="34"/>
      <c r="S9" s="35"/>
      <c r="T9" s="36" t="s">
        <v>27</v>
      </c>
      <c r="U9" s="34"/>
      <c r="Z9" s="37"/>
      <c r="AB9" s="37"/>
    </row>
    <row r="10" spans="1:28" ht="12" customHeight="1" x14ac:dyDescent="0.25">
      <c r="A10" s="25">
        <v>2024</v>
      </c>
      <c r="B10" s="26" t="s">
        <v>28</v>
      </c>
      <c r="C10" s="30" t="s">
        <v>26</v>
      </c>
      <c r="D10" s="38">
        <v>518</v>
      </c>
      <c r="E10" s="38">
        <v>317</v>
      </c>
      <c r="F10" s="38">
        <v>190</v>
      </c>
      <c r="G10" s="38">
        <v>141</v>
      </c>
      <c r="H10" s="38">
        <v>65</v>
      </c>
      <c r="I10" s="39">
        <v>23</v>
      </c>
      <c r="J10" s="39">
        <v>16</v>
      </c>
      <c r="K10" s="39">
        <v>9</v>
      </c>
      <c r="L10" s="38">
        <v>34</v>
      </c>
      <c r="M10" s="38">
        <v>144</v>
      </c>
      <c r="N10" s="38">
        <v>200</v>
      </c>
      <c r="O10" s="38">
        <v>229</v>
      </c>
      <c r="P10" s="38">
        <f>SUM(D10:O10)</f>
        <v>1886</v>
      </c>
      <c r="Q10" s="34"/>
      <c r="R10" s="34"/>
      <c r="T10" s="36">
        <f>SUM(D10:O10)+'2023'!O10</f>
        <v>2286</v>
      </c>
      <c r="U10" s="34"/>
      <c r="V10" s="35"/>
    </row>
    <row r="11" spans="1:28" ht="12" customHeight="1" x14ac:dyDescent="0.25">
      <c r="A11" s="25">
        <v>2024</v>
      </c>
      <c r="B11" s="40" t="s">
        <v>29</v>
      </c>
      <c r="C11" s="41" t="s">
        <v>30</v>
      </c>
      <c r="D11" s="32">
        <v>841</v>
      </c>
      <c r="E11" s="32">
        <v>660</v>
      </c>
      <c r="F11" s="32">
        <v>522</v>
      </c>
      <c r="G11" s="32">
        <v>414</v>
      </c>
      <c r="H11" s="32">
        <v>122</v>
      </c>
      <c r="I11" s="32">
        <v>0</v>
      </c>
      <c r="J11" s="32">
        <v>0</v>
      </c>
      <c r="K11" s="32">
        <v>0</v>
      </c>
      <c r="L11" s="32">
        <v>52</v>
      </c>
      <c r="M11" s="32">
        <v>318</v>
      </c>
      <c r="N11" s="32">
        <v>473</v>
      </c>
      <c r="O11" s="32">
        <v>604</v>
      </c>
      <c r="P11" s="32">
        <f>SUM(D11:O11)</f>
        <v>4006</v>
      </c>
      <c r="Q11" s="42"/>
      <c r="R11" s="34"/>
      <c r="S11" s="35"/>
      <c r="T11" s="34"/>
      <c r="U11" s="34"/>
      <c r="V11" s="35"/>
    </row>
    <row r="12" spans="1:28" ht="12" customHeight="1" x14ac:dyDescent="0.25">
      <c r="A12" s="25">
        <v>2024</v>
      </c>
      <c r="B12" s="40" t="s">
        <v>31</v>
      </c>
      <c r="C12" s="41" t="s">
        <v>30</v>
      </c>
      <c r="D12" s="32">
        <v>759</v>
      </c>
      <c r="E12" s="32">
        <v>699</v>
      </c>
      <c r="F12" s="32">
        <v>621</v>
      </c>
      <c r="G12" s="32">
        <v>403</v>
      </c>
      <c r="H12" s="32">
        <v>165</v>
      </c>
      <c r="I12" s="32">
        <v>22</v>
      </c>
      <c r="J12" s="32">
        <v>5</v>
      </c>
      <c r="K12" s="32">
        <v>28</v>
      </c>
      <c r="L12" s="32">
        <v>184</v>
      </c>
      <c r="M12" s="32">
        <v>386</v>
      </c>
      <c r="N12" s="32">
        <v>546</v>
      </c>
      <c r="O12" s="32">
        <v>692</v>
      </c>
      <c r="P12" s="32">
        <v>4510</v>
      </c>
      <c r="R12" s="34"/>
      <c r="T12" s="36"/>
      <c r="U12" s="34"/>
      <c r="V12" s="34"/>
    </row>
    <row r="13" spans="1:28" ht="12" customHeight="1" x14ac:dyDescent="0.25">
      <c r="A13" s="25">
        <v>2024</v>
      </c>
      <c r="B13" s="26" t="s">
        <v>32</v>
      </c>
      <c r="C13" s="30" t="s">
        <v>26</v>
      </c>
      <c r="D13" s="32">
        <f t="shared" ref="D13:O13" si="0">$K$3*D7</f>
        <v>294.5</v>
      </c>
      <c r="E13" s="32">
        <f t="shared" si="0"/>
        <v>275.5</v>
      </c>
      <c r="F13" s="32">
        <f t="shared" si="0"/>
        <v>294.5</v>
      </c>
      <c r="G13" s="32">
        <f t="shared" si="0"/>
        <v>285</v>
      </c>
      <c r="H13" s="32">
        <f t="shared" si="0"/>
        <v>294.5</v>
      </c>
      <c r="I13" s="32">
        <f t="shared" si="0"/>
        <v>285</v>
      </c>
      <c r="J13" s="32">
        <f t="shared" si="0"/>
        <v>294.5</v>
      </c>
      <c r="K13" s="32">
        <f t="shared" si="0"/>
        <v>294.5</v>
      </c>
      <c r="L13" s="32">
        <f t="shared" si="0"/>
        <v>285</v>
      </c>
      <c r="M13" s="32">
        <f t="shared" si="0"/>
        <v>294.5</v>
      </c>
      <c r="N13" s="32">
        <f t="shared" si="0"/>
        <v>285</v>
      </c>
      <c r="O13" s="32">
        <f t="shared" si="0"/>
        <v>294.5</v>
      </c>
      <c r="P13" s="32">
        <f>SUM(D13:O13)</f>
        <v>3477</v>
      </c>
      <c r="R13" s="34"/>
      <c r="T13" s="36">
        <f>P12-P11</f>
        <v>504</v>
      </c>
      <c r="U13" s="34"/>
    </row>
    <row r="14" spans="1:28" ht="12" customHeight="1" x14ac:dyDescent="0.25">
      <c r="A14" s="25">
        <v>2024</v>
      </c>
      <c r="B14" s="80" t="s">
        <v>91</v>
      </c>
      <c r="C14" s="30" t="s">
        <v>26</v>
      </c>
      <c r="D14" s="32">
        <f>D9-D13-D10</f>
        <v>400.96900000000005</v>
      </c>
      <c r="E14" s="38">
        <f t="shared" ref="E14:G14" si="1">E9-E13-E10</f>
        <v>396.15300000000002</v>
      </c>
      <c r="F14" s="38">
        <f t="shared" si="1"/>
        <v>277.72500000000002</v>
      </c>
      <c r="G14" s="38">
        <f t="shared" si="1"/>
        <v>218.74400000000003</v>
      </c>
      <c r="H14" s="38">
        <f>H10</f>
        <v>65</v>
      </c>
      <c r="I14" s="43">
        <v>0</v>
      </c>
      <c r="J14" s="43">
        <v>0</v>
      </c>
      <c r="K14" s="43">
        <v>0</v>
      </c>
      <c r="L14" s="38">
        <f>L10</f>
        <v>34</v>
      </c>
      <c r="M14" s="38">
        <f>M10</f>
        <v>144</v>
      </c>
      <c r="N14" s="38">
        <f t="shared" ref="N14:O14" si="2">N9-N13-N10</f>
        <v>238.79100000000005</v>
      </c>
      <c r="O14" s="38">
        <f t="shared" si="2"/>
        <v>487.56600000000003</v>
      </c>
      <c r="P14" s="32">
        <f>SUM(D14:O14)</f>
        <v>2262.9480000000003</v>
      </c>
      <c r="R14" s="34"/>
      <c r="T14" s="36"/>
      <c r="U14" s="34"/>
    </row>
    <row r="15" spans="1:28" ht="12" customHeight="1" x14ac:dyDescent="0.25">
      <c r="A15" s="25">
        <v>2024</v>
      </c>
      <c r="B15" s="26" t="s">
        <v>34</v>
      </c>
      <c r="C15" s="30" t="s">
        <v>26</v>
      </c>
      <c r="D15" s="38">
        <f t="shared" ref="D15:G15" si="3">IF(D11=0,0,((D12/D11))*(D10+D14))</f>
        <v>829.36679072532706</v>
      </c>
      <c r="E15" s="38">
        <f t="shared" si="3"/>
        <v>755.29385909090911</v>
      </c>
      <c r="F15" s="38">
        <f t="shared" si="3"/>
        <v>556.43146551724146</v>
      </c>
      <c r="G15" s="38">
        <f t="shared" si="3"/>
        <v>350.18558454106284</v>
      </c>
      <c r="H15" s="38">
        <f>IF(H11=0,0,((H12/H11))*(H10+H14))</f>
        <v>175.81967213114754</v>
      </c>
      <c r="I15" s="32">
        <f>I14</f>
        <v>0</v>
      </c>
      <c r="J15" s="32">
        <f>J14</f>
        <v>0</v>
      </c>
      <c r="K15" s="32">
        <f>K14</f>
        <v>0</v>
      </c>
      <c r="L15" s="38">
        <f>IF(L11=0,0,((L12/L11))*(L10+L14))</f>
        <v>240.61538461538461</v>
      </c>
      <c r="M15" s="38">
        <f>IF(M11=0,0,((M12/M11))*(M10+M14))</f>
        <v>349.58490566037733</v>
      </c>
      <c r="N15" s="38">
        <f t="shared" ref="N15:O15" si="4">IF(N11=0,0,((N12/N11))*(N10+N14))</f>
        <v>506.51138689217765</v>
      </c>
      <c r="O15" s="38">
        <f t="shared" si="4"/>
        <v>820.96634437086107</v>
      </c>
      <c r="P15" s="33">
        <f>SUM(D15:O15)</f>
        <v>4584.7753935444889</v>
      </c>
      <c r="Q15" s="44"/>
      <c r="R15" s="34"/>
      <c r="T15" s="46">
        <f>T13/P12</f>
        <v>0.11175166297117517</v>
      </c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Q17" s="78"/>
      <c r="R17" s="78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5">D9/D7</f>
        <v>39.144161290322579</v>
      </c>
      <c r="E18" s="4">
        <f t="shared" si="5"/>
        <v>34.091482758620693</v>
      </c>
      <c r="F18" s="4">
        <f t="shared" si="5"/>
        <v>24.587903225806453</v>
      </c>
      <c r="G18" s="4">
        <f t="shared" si="5"/>
        <v>21.491466666666668</v>
      </c>
      <c r="H18" s="4">
        <f t="shared" si="5"/>
        <v>13.20641935483871</v>
      </c>
      <c r="I18" s="4">
        <f t="shared" si="5"/>
        <v>10.884533333333332</v>
      </c>
      <c r="J18" s="4">
        <f t="shared" si="5"/>
        <v>9.28525806451613</v>
      </c>
      <c r="K18" s="4">
        <f t="shared" si="5"/>
        <v>8.6376774193548371</v>
      </c>
      <c r="L18" s="4">
        <f t="shared" si="5"/>
        <v>10.466533333333333</v>
      </c>
      <c r="M18" s="4">
        <f t="shared" si="5"/>
        <v>15.806935483870967</v>
      </c>
      <c r="N18" s="4">
        <f t="shared" si="5"/>
        <v>24.126366666666669</v>
      </c>
      <c r="O18" s="4">
        <f t="shared" si="5"/>
        <v>32.615032258064517</v>
      </c>
      <c r="P18" s="4"/>
      <c r="R18" s="78"/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1213.4690000000001</v>
      </c>
      <c r="E19" s="4">
        <f>SUM($D$9:E9)</f>
        <v>2202.1220000000003</v>
      </c>
      <c r="F19" s="4">
        <f>SUM($D$9:F9)</f>
        <v>2964.3470000000002</v>
      </c>
      <c r="G19" s="4">
        <f>SUM($D$9:G9)</f>
        <v>3609.0910000000003</v>
      </c>
      <c r="H19" s="4">
        <f>SUM($D$9:H9)</f>
        <v>4018.4900000000002</v>
      </c>
      <c r="I19" s="4">
        <f>SUM($D$9:I9)</f>
        <v>4345.0259999999998</v>
      </c>
      <c r="J19" s="4">
        <f>SUM($D$9:J9)</f>
        <v>4632.8689999999997</v>
      </c>
      <c r="K19" s="4">
        <f>SUM($D$9:K9)</f>
        <v>4900.6369999999997</v>
      </c>
      <c r="L19" s="4">
        <f>SUM($D$9:L9)</f>
        <v>5214.6329999999998</v>
      </c>
      <c r="M19" s="4">
        <f>SUM($D$9:M9)</f>
        <v>5704.6480000000001</v>
      </c>
      <c r="N19" s="4">
        <f>SUM($D$9:N9)</f>
        <v>6428.4390000000003</v>
      </c>
      <c r="O19" s="4">
        <f>SUM($D$9:O9)</f>
        <v>7439.5050000000001</v>
      </c>
      <c r="P19" s="4"/>
      <c r="R19" s="79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518</v>
      </c>
      <c r="E20" s="4">
        <f>SUM($D$10:E10)</f>
        <v>835</v>
      </c>
      <c r="F20" s="4">
        <f>SUM($D$10:F10)</f>
        <v>1025</v>
      </c>
      <c r="G20" s="4">
        <f>SUM($D$10:G10)</f>
        <v>1166</v>
      </c>
      <c r="H20" s="4">
        <f>SUM($D$10:H10)</f>
        <v>1231</v>
      </c>
      <c r="I20" s="4">
        <f>SUM($D$10:I10)</f>
        <v>1254</v>
      </c>
      <c r="J20" s="4">
        <f>SUM($D$10:J10)</f>
        <v>1270</v>
      </c>
      <c r="K20" s="4">
        <f>SUM($D$10:K10)</f>
        <v>1279</v>
      </c>
      <c r="L20" s="4">
        <f>SUM($D$10:L10)</f>
        <v>1313</v>
      </c>
      <c r="M20" s="4">
        <f>SUM($D$10:M10)</f>
        <v>1457</v>
      </c>
      <c r="N20" s="4">
        <f>SUM($D$10:N10)</f>
        <v>1657</v>
      </c>
      <c r="O20" s="4">
        <f>SUM($D$10:O10)</f>
        <v>1886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400.96900000000005</v>
      </c>
      <c r="E21" s="4">
        <f>SUM($D$14:E14)</f>
        <v>797.12200000000007</v>
      </c>
      <c r="F21" s="4">
        <f>SUM($D$14:F14)</f>
        <v>1074.8470000000002</v>
      </c>
      <c r="G21" s="4">
        <f>SUM($D$14:G14)</f>
        <v>1293.5910000000003</v>
      </c>
      <c r="H21" s="4">
        <f>SUM($D$14:H14)</f>
        <v>1358.5910000000003</v>
      </c>
      <c r="I21" s="4">
        <f>SUM($D$14:I14)</f>
        <v>1358.5910000000003</v>
      </c>
      <c r="J21" s="4">
        <f>SUM($D$14:J14)</f>
        <v>1358.5910000000003</v>
      </c>
      <c r="K21" s="4">
        <f>SUM($D$14:K14)</f>
        <v>1358.5910000000003</v>
      </c>
      <c r="L21" s="4">
        <f>SUM($D$14:L14)</f>
        <v>1392.5910000000003</v>
      </c>
      <c r="M21" s="4">
        <f>SUM($D$14:M14)</f>
        <v>1536.5910000000003</v>
      </c>
      <c r="N21" s="4">
        <f>SUM($D$14:N14)</f>
        <v>1775.3820000000005</v>
      </c>
      <c r="O21" s="4">
        <f>SUM($D$14:O14)</f>
        <v>2262.9480000000003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6">D14/D9</f>
        <v>0.3304320093879613</v>
      </c>
      <c r="E24" s="51">
        <f t="shared" si="6"/>
        <v>0.4006997399492036</v>
      </c>
      <c r="F24" s="51">
        <f t="shared" si="6"/>
        <v>0.36436091705205159</v>
      </c>
      <c r="G24" s="51">
        <f t="shared" si="6"/>
        <v>0.33927264154455106</v>
      </c>
      <c r="H24" s="51">
        <f t="shared" si="6"/>
        <v>0.15876931795143612</v>
      </c>
      <c r="I24" s="51">
        <f t="shared" si="6"/>
        <v>0</v>
      </c>
      <c r="J24" s="51">
        <f t="shared" si="6"/>
        <v>0</v>
      </c>
      <c r="K24" s="51">
        <f t="shared" si="6"/>
        <v>0</v>
      </c>
      <c r="L24" s="51">
        <f t="shared" si="6"/>
        <v>0.10828163416094473</v>
      </c>
      <c r="M24" s="51">
        <f t="shared" si="6"/>
        <v>0.29386855504423337</v>
      </c>
      <c r="N24" s="51">
        <f t="shared" si="6"/>
        <v>0.32991706169322366</v>
      </c>
      <c r="O24" s="51">
        <f>O14/O9</f>
        <v>0.48222964672929364</v>
      </c>
      <c r="P24" s="51">
        <f t="shared" si="6"/>
        <v>0.30417991519597076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7">D14/D11</f>
        <v>0.47677645659928664</v>
      </c>
      <c r="E25" s="4">
        <f t="shared" si="7"/>
        <v>0.60023181818181826</v>
      </c>
      <c r="F25" s="4">
        <f t="shared" si="7"/>
        <v>0.5320402298850575</v>
      </c>
      <c r="G25" s="4">
        <f t="shared" si="7"/>
        <v>0.52836714975845422</v>
      </c>
      <c r="H25" s="4">
        <f t="shared" si="7"/>
        <v>0.53278688524590168</v>
      </c>
      <c r="I25" s="4">
        <v>0</v>
      </c>
      <c r="J25" s="4">
        <v>0</v>
      </c>
      <c r="K25" s="4">
        <v>0</v>
      </c>
      <c r="L25" s="4">
        <f t="shared" si="7"/>
        <v>0.65384615384615385</v>
      </c>
      <c r="M25" s="4">
        <f t="shared" si="7"/>
        <v>0.45283018867924529</v>
      </c>
      <c r="N25" s="4">
        <f t="shared" si="7"/>
        <v>0.50484355179704032</v>
      </c>
      <c r="O25" s="4">
        <f t="shared" si="7"/>
        <v>0.80722847682119214</v>
      </c>
      <c r="P25" s="4">
        <f t="shared" si="7"/>
        <v>0.56488966550174746</v>
      </c>
      <c r="R25" s="34"/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>(D10+D14)/D7</f>
        <v>29.644161290322582</v>
      </c>
      <c r="E26" s="4">
        <f t="shared" ref="E26:H26" si="8">(E10+E14)/E7</f>
        <v>24.591482758620689</v>
      </c>
      <c r="F26" s="4">
        <f t="shared" si="8"/>
        <v>15.087903225806452</v>
      </c>
      <c r="G26" s="4">
        <f t="shared" si="8"/>
        <v>11.991466666666668</v>
      </c>
      <c r="H26" s="4">
        <f t="shared" si="8"/>
        <v>4.193548387096774</v>
      </c>
      <c r="I26" s="4">
        <v>0</v>
      </c>
      <c r="J26" s="4">
        <v>0</v>
      </c>
      <c r="K26" s="4">
        <v>0</v>
      </c>
      <c r="L26" s="4">
        <f t="shared" ref="L26:P26" si="9">(L10+L14)/L7</f>
        <v>2.2666666666666666</v>
      </c>
      <c r="M26" s="4">
        <f t="shared" si="9"/>
        <v>9.2903225806451619</v>
      </c>
      <c r="N26" s="4">
        <f t="shared" si="9"/>
        <v>14.626366666666668</v>
      </c>
      <c r="O26" s="4">
        <f t="shared" si="9"/>
        <v>23.115032258064517</v>
      </c>
      <c r="P26" s="4">
        <f t="shared" si="9"/>
        <v>11.33592349726776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>D15/D7</f>
        <v>26.753767442752487</v>
      </c>
      <c r="E27" s="4">
        <f t="shared" ref="E27:P27" si="10">E15/E7</f>
        <v>26.044615830721003</v>
      </c>
      <c r="F27" s="4">
        <f t="shared" si="10"/>
        <v>17.949402113459403</v>
      </c>
      <c r="G27" s="4">
        <f t="shared" si="10"/>
        <v>11.672852818035429</v>
      </c>
      <c r="H27" s="4">
        <f t="shared" si="10"/>
        <v>5.671602326811211</v>
      </c>
      <c r="I27" s="4">
        <v>0</v>
      </c>
      <c r="J27" s="4">
        <v>0</v>
      </c>
      <c r="K27" s="4">
        <v>0</v>
      </c>
      <c r="L27" s="4">
        <f t="shared" si="10"/>
        <v>8.0205128205128204</v>
      </c>
      <c r="M27" s="4">
        <f t="shared" si="10"/>
        <v>11.276932440657333</v>
      </c>
      <c r="N27" s="4">
        <f t="shared" si="10"/>
        <v>16.883712896405921</v>
      </c>
      <c r="O27" s="4">
        <f t="shared" si="10"/>
        <v>26.482785302285841</v>
      </c>
      <c r="P27" s="4">
        <f t="shared" si="10"/>
        <v>12.526708725531391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>(D10+D14)/$F$4</f>
        <v>3.3151839826839828</v>
      </c>
      <c r="E28" s="4">
        <f t="shared" ref="E28:O28" si="11">(E10+E14)/$F$4</f>
        <v>2.5727020202020205</v>
      </c>
      <c r="F28" s="4">
        <f t="shared" si="11"/>
        <v>1.6873196248196249</v>
      </c>
      <c r="G28" s="4">
        <f t="shared" si="11"/>
        <v>1.2977777777777779</v>
      </c>
      <c r="H28" s="4">
        <f t="shared" si="11"/>
        <v>0.46897546897546899</v>
      </c>
      <c r="I28" s="4">
        <v>0</v>
      </c>
      <c r="J28" s="4">
        <v>0</v>
      </c>
      <c r="K28" s="4">
        <v>0</v>
      </c>
      <c r="L28" s="4">
        <f t="shared" si="11"/>
        <v>0.24531024531024531</v>
      </c>
      <c r="M28" s="4">
        <f t="shared" si="11"/>
        <v>1.0389610389610391</v>
      </c>
      <c r="N28" s="4">
        <f t="shared" si="11"/>
        <v>1.5829401154401157</v>
      </c>
      <c r="O28" s="4">
        <f t="shared" si="11"/>
        <v>2.5850144300144304</v>
      </c>
      <c r="P28" s="4">
        <f t="shared" ref="P28" si="12">P14/$F$4</f>
        <v>8.1635930735930753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>(D10+D14)/$F$3</f>
        <v>8.3542636363636369</v>
      </c>
      <c r="E29" s="4">
        <f t="shared" ref="E29:H29" si="13">(E10+E14)/$F$3</f>
        <v>6.4832090909090914</v>
      </c>
      <c r="F29" s="4">
        <f t="shared" si="13"/>
        <v>4.2520454545454545</v>
      </c>
      <c r="G29" s="4">
        <f t="shared" si="13"/>
        <v>3.2704000000000004</v>
      </c>
      <c r="H29" s="4">
        <f t="shared" si="13"/>
        <v>1.1818181818181819</v>
      </c>
      <c r="I29" s="4">
        <v>0</v>
      </c>
      <c r="J29" s="4">
        <v>0</v>
      </c>
      <c r="K29" s="4">
        <v>0</v>
      </c>
      <c r="L29" s="4">
        <f t="shared" ref="L29:P29" si="14">(L10+L14)/$F$3</f>
        <v>0.61818181818181817</v>
      </c>
      <c r="M29" s="4">
        <f t="shared" si="14"/>
        <v>2.6181818181818182</v>
      </c>
      <c r="N29" s="4">
        <f t="shared" si="14"/>
        <v>3.9890090909090916</v>
      </c>
      <c r="O29" s="4">
        <f t="shared" si="14"/>
        <v>6.514236363636364</v>
      </c>
      <c r="P29" s="4">
        <f t="shared" si="14"/>
        <v>37.717709090909096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15">D15/$F$4</f>
        <v>2.9919436894853071</v>
      </c>
      <c r="E30" s="4">
        <f t="shared" si="15"/>
        <v>2.7247253213957761</v>
      </c>
      <c r="F30" s="4">
        <f t="shared" si="15"/>
        <v>2.0073285191819679</v>
      </c>
      <c r="G30" s="4">
        <f t="shared" si="15"/>
        <v>1.2632957595276437</v>
      </c>
      <c r="H30" s="4">
        <f t="shared" si="15"/>
        <v>0.63427010148321628</v>
      </c>
      <c r="I30" s="4">
        <v>0</v>
      </c>
      <c r="J30" s="4">
        <v>0</v>
      </c>
      <c r="K30" s="4">
        <v>0</v>
      </c>
      <c r="L30" s="4">
        <f t="shared" si="15"/>
        <v>0.86802086802086809</v>
      </c>
      <c r="M30" s="4">
        <f t="shared" si="15"/>
        <v>1.2611288082986196</v>
      </c>
      <c r="N30" s="4">
        <f t="shared" si="15"/>
        <v>1.8272416554551865</v>
      </c>
      <c r="O30" s="4">
        <f t="shared" si="15"/>
        <v>2.9616390489569304</v>
      </c>
      <c r="P30" s="4">
        <f t="shared" si="15"/>
        <v>16.539593771805517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16">D15/$F$3</f>
        <v>7.5396980975029733</v>
      </c>
      <c r="E31" s="4">
        <f t="shared" si="16"/>
        <v>6.8663078099173553</v>
      </c>
      <c r="F31" s="4">
        <f t="shared" si="16"/>
        <v>5.0584678683385587</v>
      </c>
      <c r="G31" s="4">
        <f t="shared" si="16"/>
        <v>3.1835053140096621</v>
      </c>
      <c r="H31" s="4">
        <f t="shared" si="16"/>
        <v>1.598360655737705</v>
      </c>
      <c r="I31" s="4">
        <v>0</v>
      </c>
      <c r="J31" s="4">
        <v>0</v>
      </c>
      <c r="K31" s="4">
        <v>0</v>
      </c>
      <c r="L31" s="4">
        <f t="shared" si="16"/>
        <v>2.1874125874125876</v>
      </c>
      <c r="M31" s="4">
        <f t="shared" si="16"/>
        <v>3.1780445969125211</v>
      </c>
      <c r="N31" s="4">
        <f t="shared" si="16"/>
        <v>4.6046489717470696</v>
      </c>
      <c r="O31" s="4">
        <f t="shared" si="16"/>
        <v>7.4633304033714643</v>
      </c>
      <c r="P31" s="4">
        <f t="shared" si="16"/>
        <v>41.679776304949897</v>
      </c>
    </row>
    <row r="32" spans="1:28" ht="12" customHeight="1" x14ac:dyDescent="0.3">
      <c r="B32" s="47" t="s">
        <v>44</v>
      </c>
      <c r="C32" s="47" t="s">
        <v>48</v>
      </c>
      <c r="D32" s="4">
        <f>1000*D28/D11</f>
        <v>3.941954795105806</v>
      </c>
      <c r="E32" s="4">
        <f t="shared" ref="E32:P32" si="17">1000*E28/E11</f>
        <v>3.8980333639424551</v>
      </c>
      <c r="F32" s="4">
        <f t="shared" si="17"/>
        <v>3.2324130743670976</v>
      </c>
      <c r="G32" s="4">
        <f t="shared" si="17"/>
        <v>3.1347289318303813</v>
      </c>
      <c r="H32" s="4">
        <f t="shared" si="17"/>
        <v>3.8440612211104015</v>
      </c>
      <c r="I32" s="4">
        <v>0</v>
      </c>
      <c r="J32" s="4">
        <v>0</v>
      </c>
      <c r="K32" s="4">
        <v>0</v>
      </c>
      <c r="L32" s="4">
        <f t="shared" si="17"/>
        <v>4.7175047175047178</v>
      </c>
      <c r="M32" s="4">
        <f t="shared" si="17"/>
        <v>3.2671730784938338</v>
      </c>
      <c r="N32" s="4">
        <f t="shared" si="17"/>
        <v>3.3465964385626124</v>
      </c>
      <c r="O32" s="4">
        <f t="shared" si="17"/>
        <v>4.2798252152556788</v>
      </c>
      <c r="P32" s="4">
        <f t="shared" si="17"/>
        <v>2.0378415061390602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4500*1.1</f>
        <v>4950</v>
      </c>
      <c r="E36" s="11" t="s">
        <v>26</v>
      </c>
      <c r="F36" s="51">
        <f>D36/$D$38</f>
        <v>0.58806058806058803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3467.5</v>
      </c>
      <c r="E37" s="55" t="s">
        <v>26</v>
      </c>
      <c r="F37" s="51">
        <f>D37/$D$38</f>
        <v>0.41193941193941191</v>
      </c>
      <c r="G37" s="11" t="s">
        <v>54</v>
      </c>
      <c r="H37" s="4"/>
      <c r="I37" s="4"/>
      <c r="J37" s="4"/>
      <c r="K37" s="4">
        <f>K36-D36</f>
        <v>3616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8417.5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0.42213401821153396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0.30049445298541572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82" si="18">DAYS360(B50,B51)</f>
        <v>11</v>
      </c>
      <c r="F51" s="4">
        <f t="shared" ref="F51:F82" si="19">(D51-D50)/E51</f>
        <v>8.1400000000000023</v>
      </c>
      <c r="G51" s="13">
        <v>195</v>
      </c>
      <c r="H51" s="57">
        <f t="shared" ref="H51:H56" si="20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8"/>
        <v>46</v>
      </c>
      <c r="F52" s="4">
        <f t="shared" si="19"/>
        <v>10.755217391304347</v>
      </c>
      <c r="G52" s="13">
        <v>1116</v>
      </c>
      <c r="H52" s="57">
        <f t="shared" si="20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8"/>
        <v>30</v>
      </c>
      <c r="F53" s="4">
        <f t="shared" si="19"/>
        <v>9.9096666666666646</v>
      </c>
      <c r="G53" s="13">
        <v>459</v>
      </c>
      <c r="H53" s="57">
        <f t="shared" si="20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8"/>
        <v>13</v>
      </c>
      <c r="F54" s="4">
        <f t="shared" si="19"/>
        <v>12.971538461538453</v>
      </c>
      <c r="G54" s="4">
        <v>173</v>
      </c>
      <c r="H54" s="57">
        <f t="shared" si="20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8"/>
        <v>56</v>
      </c>
      <c r="F55" s="4">
        <f t="shared" si="19"/>
        <v>10.850714285714288</v>
      </c>
      <c r="G55" s="4">
        <v>537</v>
      </c>
      <c r="H55" s="57">
        <f t="shared" si="20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8"/>
        <v>23</v>
      </c>
      <c r="F56" s="4">
        <f t="shared" si="19"/>
        <v>3.4986956521739043</v>
      </c>
      <c r="G56" s="4">
        <v>78.2</v>
      </c>
      <c r="H56" s="57">
        <f t="shared" si="20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8"/>
        <v>11</v>
      </c>
      <c r="F57" s="4">
        <f t="shared" si="19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8"/>
        <v>26</v>
      </c>
      <c r="F58" s="4">
        <f t="shared" si="19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8"/>
        <v>30</v>
      </c>
      <c r="F59" s="4">
        <f t="shared" si="19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8"/>
        <v>7</v>
      </c>
      <c r="F60" s="4">
        <f t="shared" si="19"/>
        <v>2.2728571428571223</v>
      </c>
      <c r="G60" s="4">
        <f>3.8*7</f>
        <v>26.599999999999998</v>
      </c>
      <c r="H60" s="57">
        <f t="shared" ref="H60:H76" si="21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8"/>
        <v>40</v>
      </c>
      <c r="F61" s="4">
        <f t="shared" si="19"/>
        <v>4.4192499999999999</v>
      </c>
      <c r="G61" s="4">
        <f>7*40</f>
        <v>280</v>
      </c>
      <c r="H61" s="57">
        <f t="shared" si="21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8"/>
        <v>21</v>
      </c>
      <c r="F62" s="4">
        <f t="shared" si="19"/>
        <v>8.9847619047618963</v>
      </c>
      <c r="G62" s="4">
        <f>21*12.5</f>
        <v>262.5</v>
      </c>
      <c r="H62" s="57">
        <f t="shared" si="21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8"/>
        <v>83</v>
      </c>
      <c r="F63" s="4">
        <f t="shared" si="19"/>
        <v>8.7620481927710845</v>
      </c>
      <c r="G63" s="4">
        <v>1643</v>
      </c>
      <c r="H63" s="57">
        <f t="shared" si="21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8"/>
        <v>65</v>
      </c>
      <c r="F64" s="4">
        <f t="shared" si="19"/>
        <v>8.8218461538461543</v>
      </c>
      <c r="G64" s="4">
        <f>524+505+80</f>
        <v>1109</v>
      </c>
      <c r="H64" s="57">
        <f t="shared" si="21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8"/>
        <v>28</v>
      </c>
      <c r="F65" s="4">
        <f t="shared" si="19"/>
        <v>6.7735714285714392</v>
      </c>
      <c r="G65" s="4">
        <v>372</v>
      </c>
      <c r="H65" s="57">
        <f t="shared" si="21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8"/>
        <v>21</v>
      </c>
      <c r="F66" s="4">
        <f t="shared" si="19"/>
        <v>4.8628571428571377</v>
      </c>
      <c r="G66" s="4">
        <v>125</v>
      </c>
      <c r="H66" s="57">
        <f t="shared" si="21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8"/>
        <v>31</v>
      </c>
      <c r="F67" s="4">
        <f t="shared" si="19"/>
        <v>2.5290322580645044</v>
      </c>
      <c r="G67" s="4">
        <v>8</v>
      </c>
      <c r="H67" s="57">
        <f t="shared" si="21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8"/>
        <v>52</v>
      </c>
      <c r="F68" s="4">
        <f t="shared" si="19"/>
        <v>1.4932692307692412</v>
      </c>
      <c r="G68" s="4">
        <v>5</v>
      </c>
      <c r="H68" s="57">
        <f t="shared" si="21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8"/>
        <v>61</v>
      </c>
      <c r="F69" s="4">
        <f t="shared" si="19"/>
        <v>3.4193442622950809</v>
      </c>
      <c r="G69" s="4">
        <f>70+18*(17-4)</f>
        <v>304</v>
      </c>
      <c r="H69" s="57">
        <f t="shared" si="21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8"/>
        <v>50</v>
      </c>
      <c r="F70" s="4">
        <f t="shared" si="19"/>
        <v>8.3852000000000046</v>
      </c>
      <c r="G70" s="4">
        <f>13.5*50</f>
        <v>675</v>
      </c>
      <c r="H70" s="57">
        <f t="shared" si="21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8"/>
        <v>15</v>
      </c>
      <c r="F71" s="4">
        <f t="shared" si="19"/>
        <v>8.0666666666666664</v>
      </c>
      <c r="G71" s="4">
        <f>14*15</f>
        <v>210</v>
      </c>
      <c r="H71" s="57">
        <f t="shared" si="21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8"/>
        <v>80</v>
      </c>
      <c r="F72" s="4">
        <f t="shared" si="19"/>
        <v>3.9747499999999945</v>
      </c>
      <c r="G72" s="4">
        <f>552+969</f>
        <v>1521</v>
      </c>
      <c r="H72" s="57">
        <f t="shared" si="21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8"/>
        <v>46</v>
      </c>
      <c r="F73" s="4">
        <f t="shared" si="19"/>
        <v>6.8530434782608651</v>
      </c>
      <c r="G73" s="4">
        <f>561+376</f>
        <v>937</v>
      </c>
      <c r="H73" s="57">
        <f t="shared" si="21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8"/>
        <v>30</v>
      </c>
      <c r="F74" s="4">
        <f t="shared" si="19"/>
        <v>2.7056666666666689</v>
      </c>
      <c r="G74" s="4">
        <v>23</v>
      </c>
      <c r="H74" s="57">
        <f t="shared" si="21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8"/>
        <v>32</v>
      </c>
      <c r="F75" s="4">
        <f t="shared" si="19"/>
        <v>1.9846875000000068</v>
      </c>
      <c r="G75" s="4">
        <v>37</v>
      </c>
      <c r="H75" s="57">
        <f t="shared" si="21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8"/>
        <v>27</v>
      </c>
      <c r="F76" s="4">
        <f t="shared" si="19"/>
        <v>1.7807407407407381</v>
      </c>
      <c r="G76" s="4">
        <v>0</v>
      </c>
      <c r="H76" s="57" t="e">
        <f t="shared" si="21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8"/>
        <v>14</v>
      </c>
      <c r="F77" s="4">
        <f t="shared" si="19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8"/>
        <v>22</v>
      </c>
      <c r="F78" s="4">
        <f t="shared" si="19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8"/>
        <v>48</v>
      </c>
      <c r="F79" s="4">
        <f t="shared" si="19"/>
        <v>4.2625000000000073</v>
      </c>
      <c r="G79" s="4">
        <f>125+234</f>
        <v>359</v>
      </c>
      <c r="H79" s="57">
        <f t="shared" ref="H79:H85" si="22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8"/>
        <v>69</v>
      </c>
      <c r="F80" s="4">
        <f t="shared" si="19"/>
        <v>7.9052173913043484</v>
      </c>
      <c r="G80" s="4">
        <v>1172</v>
      </c>
      <c r="H80" s="57">
        <f t="shared" si="22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8"/>
        <v>14</v>
      </c>
      <c r="F81" s="4">
        <f t="shared" si="19"/>
        <v>1.9807142857142546</v>
      </c>
      <c r="G81" s="4">
        <v>363</v>
      </c>
      <c r="H81" s="57">
        <f t="shared" si="22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8"/>
        <v>15</v>
      </c>
      <c r="F82" s="4">
        <f t="shared" si="19"/>
        <v>5.7480000000000171</v>
      </c>
      <c r="G82" s="4">
        <v>310</v>
      </c>
      <c r="H82" s="57">
        <f t="shared" si="22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ref="E83:E114" si="23">DAYS360(B82,B83)</f>
        <v>27</v>
      </c>
      <c r="F83" s="4">
        <f t="shared" ref="F83:F104" si="24">(D83-D82)/E83</f>
        <v>6.6633333333333278</v>
      </c>
      <c r="G83" s="4">
        <v>600</v>
      </c>
      <c r="H83" s="57">
        <f t="shared" si="22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23"/>
        <v>50</v>
      </c>
      <c r="F84" s="4">
        <f t="shared" si="24"/>
        <v>8.6689999999999969</v>
      </c>
      <c r="G84" s="4">
        <v>840</v>
      </c>
      <c r="H84" s="57">
        <f t="shared" si="22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23"/>
        <v>21</v>
      </c>
      <c r="F85" s="4">
        <f t="shared" si="24"/>
        <v>6.3404761904762168</v>
      </c>
      <c r="G85" s="4">
        <v>230</v>
      </c>
      <c r="H85" s="57">
        <f t="shared" si="22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23"/>
        <v>34</v>
      </c>
      <c r="F86" s="4">
        <f t="shared" si="24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23"/>
        <v>11</v>
      </c>
      <c r="F87" s="4">
        <f t="shared" si="24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23"/>
        <v>9</v>
      </c>
      <c r="F88" s="4">
        <f t="shared" si="24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23"/>
        <v>34</v>
      </c>
      <c r="F89" s="4">
        <f t="shared" si="24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23"/>
        <v>40</v>
      </c>
      <c r="F90" s="4">
        <f t="shared" si="24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23"/>
        <v>22</v>
      </c>
      <c r="F91" s="4">
        <f t="shared" si="24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23"/>
        <v>27</v>
      </c>
      <c r="F92" s="4">
        <f t="shared" si="24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23"/>
        <v>57</v>
      </c>
      <c r="F93" s="4">
        <f t="shared" si="24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>
        <v>43155</v>
      </c>
      <c r="D94" s="4">
        <v>9122.02</v>
      </c>
      <c r="E94" s="13">
        <f t="shared" si="23"/>
        <v>54</v>
      </c>
      <c r="F94" s="4">
        <f t="shared" si="24"/>
        <v>4.896111111111134</v>
      </c>
      <c r="G94" s="4">
        <v>1320</v>
      </c>
      <c r="H94" s="57">
        <f>(D94-D93)/G94</f>
        <v>0.20029545454545547</v>
      </c>
      <c r="I94" s="4"/>
      <c r="J94" s="4"/>
      <c r="K94" s="4"/>
      <c r="L94" s="4"/>
      <c r="M94" s="4"/>
      <c r="N94" s="4">
        <f>D94-D93</f>
        <v>264.39000000000124</v>
      </c>
      <c r="O94" s="4"/>
      <c r="P94" s="4"/>
    </row>
    <row r="95" spans="2:16" ht="12" customHeight="1" x14ac:dyDescent="0.25">
      <c r="B95" s="56">
        <v>43184</v>
      </c>
      <c r="D95" s="4">
        <v>9294.3700000000008</v>
      </c>
      <c r="E95" s="13">
        <f t="shared" si="23"/>
        <v>31</v>
      </c>
      <c r="F95" s="4">
        <f t="shared" si="24"/>
        <v>5.5596774193548502</v>
      </c>
      <c r="G95" s="4">
        <v>723</v>
      </c>
      <c r="H95" s="57">
        <f>(D95-D94)/G95</f>
        <v>0.23838174273858972</v>
      </c>
      <c r="I95" s="4"/>
      <c r="J95" s="4"/>
      <c r="K95" s="4"/>
      <c r="L95" s="4"/>
      <c r="M95" s="4"/>
      <c r="N95" s="4">
        <f>D95-D94</f>
        <v>172.35000000000036</v>
      </c>
      <c r="O95" s="4"/>
      <c r="P95" s="4">
        <f>D94-D83</f>
        <v>2005.7700000000004</v>
      </c>
    </row>
    <row r="96" spans="2:16" ht="12" customHeight="1" x14ac:dyDescent="0.25">
      <c r="B96" s="56">
        <v>43217</v>
      </c>
      <c r="D96" s="4">
        <v>9530.9</v>
      </c>
      <c r="E96" s="13">
        <f t="shared" si="23"/>
        <v>32</v>
      </c>
      <c r="F96" s="4">
        <f t="shared" si="24"/>
        <v>7.3915624999999636</v>
      </c>
      <c r="G96" s="4"/>
      <c r="H96" s="4"/>
      <c r="I96" s="4"/>
      <c r="J96" s="4"/>
      <c r="K96" s="4"/>
      <c r="L96" s="4"/>
      <c r="M96" s="4"/>
      <c r="N96" s="4">
        <f>D96-D95</f>
        <v>236.52999999999884</v>
      </c>
      <c r="O96" s="4"/>
      <c r="P96" s="4"/>
    </row>
    <row r="97" spans="2:17" ht="12" customHeight="1" x14ac:dyDescent="0.25">
      <c r="B97" s="56">
        <v>43241</v>
      </c>
      <c r="D97" s="4">
        <v>9598.7999999999993</v>
      </c>
      <c r="E97" s="13">
        <f t="shared" si="23"/>
        <v>24</v>
      </c>
      <c r="F97" s="4">
        <f t="shared" si="24"/>
        <v>2.8291666666666515</v>
      </c>
      <c r="G97" s="4"/>
      <c r="H97" s="4"/>
      <c r="I97" s="4"/>
      <c r="J97" s="4"/>
      <c r="K97" s="4"/>
      <c r="L97" s="4"/>
      <c r="M97" s="4"/>
      <c r="N97" s="4">
        <f>D97-D96</f>
        <v>67.899999999999636</v>
      </c>
      <c r="O97" s="4"/>
      <c r="P97" s="4"/>
    </row>
    <row r="98" spans="2:17" ht="12" customHeight="1" x14ac:dyDescent="0.25">
      <c r="B98" s="56">
        <v>43269</v>
      </c>
      <c r="D98" s="4">
        <v>9628.2800000000007</v>
      </c>
      <c r="E98" s="13">
        <f t="shared" si="23"/>
        <v>27</v>
      </c>
      <c r="F98" s="4">
        <f t="shared" si="24"/>
        <v>1.0918518518519031</v>
      </c>
      <c r="G98" s="4"/>
      <c r="H98" s="4"/>
      <c r="I98" s="4"/>
      <c r="J98" s="4"/>
      <c r="K98" s="4"/>
      <c r="L98" s="4"/>
      <c r="M98" s="4"/>
      <c r="N98" s="4">
        <f>D98-D97</f>
        <v>29.480000000001382</v>
      </c>
      <c r="O98" s="4"/>
      <c r="P98" s="4">
        <f>D98-D87</f>
        <v>1804.2700000000004</v>
      </c>
    </row>
    <row r="99" spans="2:17" ht="12" customHeight="1" x14ac:dyDescent="0.25">
      <c r="B99" s="56">
        <v>43285</v>
      </c>
      <c r="D99" s="4">
        <v>9644.2900000000009</v>
      </c>
      <c r="E99" s="13">
        <f t="shared" si="23"/>
        <v>16</v>
      </c>
      <c r="F99" s="4">
        <f t="shared" si="24"/>
        <v>1.0006250000000136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7" ht="12" customHeight="1" x14ac:dyDescent="0.25">
      <c r="B100" s="56">
        <v>43298</v>
      </c>
      <c r="D100" s="4">
        <v>9661.08</v>
      </c>
      <c r="E100" s="13">
        <f t="shared" si="23"/>
        <v>13</v>
      </c>
      <c r="F100" s="4">
        <f t="shared" si="24"/>
        <v>1.2915384615383887</v>
      </c>
      <c r="G100" s="4"/>
      <c r="H100" s="4"/>
      <c r="I100" s="4"/>
      <c r="J100" s="4"/>
      <c r="K100" s="4"/>
      <c r="L100" s="4"/>
      <c r="M100" s="4"/>
      <c r="N100" s="4">
        <f>D100-D99</f>
        <v>16.789999999999054</v>
      </c>
      <c r="O100" s="4"/>
      <c r="P100" s="4"/>
    </row>
    <row r="101" spans="2:17" ht="12" customHeight="1" x14ac:dyDescent="0.25">
      <c r="B101" s="56">
        <v>43317</v>
      </c>
      <c r="D101" s="4">
        <v>9702.4</v>
      </c>
      <c r="E101" s="13">
        <f t="shared" si="23"/>
        <v>18</v>
      </c>
      <c r="F101" s="4">
        <f t="shared" si="24"/>
        <v>2.2955555555555396</v>
      </c>
      <c r="G101" s="4"/>
      <c r="H101" s="4"/>
      <c r="I101" s="4"/>
      <c r="J101" s="4"/>
      <c r="K101" s="4"/>
      <c r="L101" s="4"/>
      <c r="M101" s="4"/>
      <c r="N101" s="4">
        <f>D101-D99</f>
        <v>58.109999999998763</v>
      </c>
      <c r="O101" s="4">
        <f>N101-N100</f>
        <v>41.319999999999709</v>
      </c>
      <c r="P101" s="4">
        <f>D101-D89</f>
        <v>1831.29</v>
      </c>
    </row>
    <row r="102" spans="2:17" ht="12" customHeight="1" x14ac:dyDescent="0.25">
      <c r="B102" s="56">
        <v>43364</v>
      </c>
      <c r="D102" s="4">
        <v>9762.31</v>
      </c>
      <c r="E102" s="13">
        <f t="shared" si="23"/>
        <v>46</v>
      </c>
      <c r="F102" s="4">
        <f t="shared" si="24"/>
        <v>1.302391304347823</v>
      </c>
      <c r="G102" s="4"/>
      <c r="H102" s="4"/>
      <c r="I102" s="4"/>
      <c r="J102" s="4"/>
      <c r="K102" s="4"/>
      <c r="L102" s="4"/>
      <c r="M102" s="4"/>
      <c r="N102" s="4">
        <f>D102-D101</f>
        <v>59.909999999999854</v>
      </c>
      <c r="O102" s="4"/>
      <c r="P102" s="4">
        <f>D102-D90</f>
        <v>1812.3099999999995</v>
      </c>
    </row>
    <row r="103" spans="2:17" ht="12" customHeight="1" x14ac:dyDescent="0.25">
      <c r="B103" s="56">
        <v>43401</v>
      </c>
      <c r="D103" s="4">
        <v>9930.7800000000007</v>
      </c>
      <c r="E103" s="13">
        <f t="shared" si="23"/>
        <v>37</v>
      </c>
      <c r="F103" s="4">
        <f t="shared" si="24"/>
        <v>4.5532432432432746</v>
      </c>
      <c r="G103" s="4"/>
      <c r="H103" s="4"/>
      <c r="I103" s="4"/>
      <c r="J103" s="4"/>
      <c r="K103" s="4"/>
      <c r="L103" s="4"/>
      <c r="M103" s="4"/>
      <c r="N103" s="4">
        <f>D103-D101</f>
        <v>228.38000000000102</v>
      </c>
      <c r="O103" s="4"/>
      <c r="P103" s="4"/>
      <c r="Q103" s="14"/>
    </row>
    <row r="104" spans="2:17" ht="12" customHeight="1" x14ac:dyDescent="0.25">
      <c r="B104" s="56">
        <v>43442</v>
      </c>
      <c r="D104" s="4">
        <v>10300.530000000001</v>
      </c>
      <c r="E104" s="13">
        <f t="shared" si="23"/>
        <v>40</v>
      </c>
      <c r="F104" s="4">
        <f t="shared" si="24"/>
        <v>9.2437500000000004</v>
      </c>
      <c r="G104" s="4">
        <f>SUM(M11:N11)</f>
        <v>791</v>
      </c>
      <c r="H104" s="57">
        <f>(D104-D103)/G104</f>
        <v>0.46744627054361565</v>
      </c>
      <c r="I104" s="4"/>
      <c r="J104" s="4"/>
      <c r="K104" s="4"/>
      <c r="L104" s="4"/>
      <c r="M104" s="4"/>
      <c r="N104" s="4">
        <f>D104-D103</f>
        <v>369.75</v>
      </c>
      <c r="O104" s="4"/>
      <c r="P104" s="4"/>
    </row>
    <row r="105" spans="2:17" ht="12" customHeight="1" x14ac:dyDescent="0.25">
      <c r="B105" s="56">
        <v>43464</v>
      </c>
      <c r="D105" s="4">
        <v>531.5</v>
      </c>
      <c r="E105" s="13">
        <f t="shared" si="23"/>
        <v>22</v>
      </c>
      <c r="F105" s="4">
        <f>(D105-D104+10000)/E105</f>
        <v>10.498636363636335</v>
      </c>
      <c r="G105" s="4"/>
      <c r="H105" s="4"/>
      <c r="I105" s="4"/>
      <c r="J105" s="4"/>
      <c r="K105" s="4"/>
      <c r="L105" s="4"/>
      <c r="M105" s="4"/>
      <c r="N105" s="4">
        <f>D105-D104+10000</f>
        <v>230.96999999999935</v>
      </c>
      <c r="O105" s="4"/>
      <c r="P105" s="4">
        <f>D105-D93+10000</f>
        <v>1673.8700000000008</v>
      </c>
    </row>
    <row r="106" spans="2:17" ht="12" customHeight="1" x14ac:dyDescent="0.25">
      <c r="B106" s="56">
        <v>43547</v>
      </c>
      <c r="D106" s="4">
        <v>994.26</v>
      </c>
      <c r="E106" s="13">
        <f t="shared" si="23"/>
        <v>83</v>
      </c>
      <c r="F106" s="4">
        <f t="shared" ref="F106:F153" si="25">(D106-D105)/E106</f>
        <v>5.5754216867469877</v>
      </c>
      <c r="G106" s="4"/>
      <c r="H106" s="4"/>
      <c r="I106" s="4"/>
      <c r="J106" s="4"/>
      <c r="K106" s="4"/>
      <c r="L106" s="4"/>
      <c r="M106" s="4"/>
      <c r="N106" s="4">
        <f t="shared" ref="N106:N152" si="26">D106-D105</f>
        <v>462.76</v>
      </c>
      <c r="O106" s="4"/>
      <c r="P106" s="4">
        <f>D106-D95+10000</f>
        <v>1699.8899999999994</v>
      </c>
    </row>
    <row r="107" spans="2:17" ht="12" customHeight="1" x14ac:dyDescent="0.25">
      <c r="B107" s="56">
        <v>43582</v>
      </c>
      <c r="D107" s="4">
        <v>1190.8699999999999</v>
      </c>
      <c r="E107" s="13">
        <f t="shared" si="23"/>
        <v>34</v>
      </c>
      <c r="F107" s="4">
        <f t="shared" si="25"/>
        <v>5.7826470588235264</v>
      </c>
      <c r="G107" s="4"/>
      <c r="H107" s="4"/>
      <c r="I107" s="4"/>
      <c r="J107" s="4"/>
      <c r="K107" s="4"/>
      <c r="L107" s="4"/>
      <c r="M107" s="4"/>
      <c r="N107" s="4">
        <f t="shared" si="26"/>
        <v>196.6099999999999</v>
      </c>
      <c r="O107" s="4"/>
      <c r="P107" s="4">
        <f>D107-D96+10000</f>
        <v>1659.9700000000012</v>
      </c>
    </row>
    <row r="108" spans="2:17" ht="12" customHeight="1" x14ac:dyDescent="0.25">
      <c r="B108" s="56">
        <v>43622</v>
      </c>
      <c r="D108" s="4">
        <v>1333.82</v>
      </c>
      <c r="E108" s="13">
        <f t="shared" si="23"/>
        <v>39</v>
      </c>
      <c r="F108" s="4">
        <f t="shared" si="25"/>
        <v>3.6653846153846166</v>
      </c>
      <c r="G108" s="4"/>
      <c r="H108" s="4"/>
      <c r="I108" s="4"/>
      <c r="J108" s="4"/>
      <c r="K108" s="4"/>
      <c r="L108" s="4"/>
      <c r="M108" s="4"/>
      <c r="N108" s="4">
        <f t="shared" si="26"/>
        <v>142.95000000000005</v>
      </c>
      <c r="O108" s="4"/>
      <c r="P108" s="4">
        <f>D108-D98+10000</f>
        <v>1705.5399999999991</v>
      </c>
    </row>
    <row r="109" spans="2:17" ht="12" customHeight="1" x14ac:dyDescent="0.25">
      <c r="B109" s="56">
        <v>43670</v>
      </c>
      <c r="D109" s="4">
        <v>1398.19</v>
      </c>
      <c r="E109" s="13">
        <f t="shared" si="23"/>
        <v>48</v>
      </c>
      <c r="F109" s="4">
        <f t="shared" si="25"/>
        <v>1.3410416666666691</v>
      </c>
      <c r="G109" s="4"/>
      <c r="H109" s="4"/>
      <c r="I109" s="4"/>
      <c r="J109" s="4"/>
      <c r="K109" s="4"/>
      <c r="L109" s="4"/>
      <c r="M109" s="4"/>
      <c r="N109" s="4">
        <f t="shared" si="26"/>
        <v>64.370000000000118</v>
      </c>
      <c r="O109" s="4"/>
      <c r="P109" s="4"/>
    </row>
    <row r="110" spans="2:17" ht="12" customHeight="1" x14ac:dyDescent="0.25">
      <c r="B110" s="56">
        <v>43681</v>
      </c>
      <c r="D110" s="4">
        <v>1419.41</v>
      </c>
      <c r="E110" s="13">
        <f t="shared" si="23"/>
        <v>10</v>
      </c>
      <c r="F110" s="4">
        <f t="shared" si="25"/>
        <v>2.1220000000000026</v>
      </c>
      <c r="G110" s="4"/>
      <c r="H110" s="4"/>
      <c r="I110" s="4"/>
      <c r="J110" s="4"/>
      <c r="K110" s="4"/>
      <c r="L110" s="4"/>
      <c r="M110" s="4"/>
      <c r="N110" s="4">
        <f t="shared" si="26"/>
        <v>21.220000000000027</v>
      </c>
      <c r="O110" s="4"/>
      <c r="P110" s="4">
        <f>D110-D101+10000</f>
        <v>1717.0100000000002</v>
      </c>
    </row>
    <row r="111" spans="2:17" ht="12" customHeight="1" x14ac:dyDescent="0.3">
      <c r="B111" s="56">
        <v>43744</v>
      </c>
      <c r="D111" s="47">
        <v>1581.94</v>
      </c>
      <c r="E111" s="13">
        <f t="shared" si="23"/>
        <v>62</v>
      </c>
      <c r="F111" s="4">
        <f t="shared" si="25"/>
        <v>2.6214516129032255</v>
      </c>
      <c r="G111" s="4"/>
      <c r="H111" s="4"/>
      <c r="I111" s="4"/>
      <c r="J111" s="4"/>
      <c r="K111" s="4"/>
      <c r="L111" s="4"/>
      <c r="M111" s="4"/>
      <c r="N111" s="4">
        <f t="shared" si="26"/>
        <v>162.52999999999997</v>
      </c>
      <c r="O111" s="4"/>
      <c r="P111" s="4"/>
    </row>
    <row r="112" spans="2:17" ht="12" customHeight="1" x14ac:dyDescent="0.25">
      <c r="B112" s="56">
        <v>43806</v>
      </c>
      <c r="D112" s="4">
        <v>2125.79</v>
      </c>
      <c r="E112" s="13">
        <f t="shared" si="23"/>
        <v>61</v>
      </c>
      <c r="F112" s="4">
        <f t="shared" si="25"/>
        <v>8.9155737704918021</v>
      </c>
      <c r="G112" s="4"/>
      <c r="H112" s="4"/>
      <c r="I112" s="4"/>
      <c r="J112" s="4"/>
      <c r="K112" s="4"/>
      <c r="L112" s="4"/>
      <c r="M112" s="4"/>
      <c r="N112" s="4">
        <f t="shared" si="26"/>
        <v>543.84999999999991</v>
      </c>
      <c r="O112" s="4"/>
      <c r="P112" s="4">
        <f>D112-D104+10000</f>
        <v>1825.2599999999993</v>
      </c>
    </row>
    <row r="113" spans="2:18" ht="12" customHeight="1" x14ac:dyDescent="0.25">
      <c r="B113" s="56">
        <v>43827</v>
      </c>
      <c r="D113" s="4">
        <v>2323.56</v>
      </c>
      <c r="E113" s="13">
        <f t="shared" si="23"/>
        <v>21</v>
      </c>
      <c r="F113" s="4">
        <f t="shared" si="25"/>
        <v>9.4176190476190467</v>
      </c>
      <c r="G113" s="4"/>
      <c r="H113" s="4"/>
      <c r="I113" s="4"/>
      <c r="J113" s="4"/>
      <c r="K113" s="4"/>
      <c r="L113" s="4"/>
      <c r="M113" s="4"/>
      <c r="N113" s="4">
        <f t="shared" si="26"/>
        <v>197.76999999999998</v>
      </c>
      <c r="O113" s="4"/>
      <c r="P113" s="4">
        <f>D113-D105</f>
        <v>1792.06</v>
      </c>
    </row>
    <row r="114" spans="2:18" ht="12" customHeight="1" x14ac:dyDescent="0.25">
      <c r="B114" s="56">
        <v>43876</v>
      </c>
      <c r="D114" s="4">
        <v>2777.25</v>
      </c>
      <c r="E114" s="13">
        <f t="shared" si="23"/>
        <v>47</v>
      </c>
      <c r="F114" s="4">
        <f t="shared" si="25"/>
        <v>9.6529787234042566</v>
      </c>
      <c r="G114" s="4"/>
      <c r="H114" s="4"/>
      <c r="I114" s="4"/>
      <c r="J114" s="4"/>
      <c r="K114" s="4"/>
      <c r="L114" s="4"/>
      <c r="M114" s="4"/>
      <c r="N114" s="4">
        <f t="shared" si="26"/>
        <v>453.69000000000005</v>
      </c>
      <c r="O114" s="4"/>
      <c r="P114" s="4"/>
    </row>
    <row r="115" spans="2:18" ht="12" customHeight="1" x14ac:dyDescent="0.25">
      <c r="B115" s="56">
        <v>43953</v>
      </c>
      <c r="D115" s="4">
        <v>3386.03</v>
      </c>
      <c r="E115" s="13">
        <f t="shared" ref="E115:E146" si="27">DAYS360(B114,B115)</f>
        <v>77</v>
      </c>
      <c r="F115" s="4">
        <f t="shared" si="25"/>
        <v>7.9062337662337692</v>
      </c>
      <c r="G115" s="4"/>
      <c r="H115" s="4"/>
      <c r="I115" s="4"/>
      <c r="J115" s="4"/>
      <c r="K115" s="4"/>
      <c r="L115" s="4"/>
      <c r="M115" s="4"/>
      <c r="N115" s="4">
        <f t="shared" si="26"/>
        <v>608.7800000000002</v>
      </c>
      <c r="O115" s="4"/>
      <c r="P115" s="4">
        <f>D115-D107</f>
        <v>2195.1600000000003</v>
      </c>
    </row>
    <row r="116" spans="2:18" ht="12" customHeight="1" x14ac:dyDescent="0.25">
      <c r="B116" s="56">
        <v>43972</v>
      </c>
      <c r="D116" s="4">
        <v>3469.97</v>
      </c>
      <c r="E116" s="13">
        <f t="shared" si="27"/>
        <v>19</v>
      </c>
      <c r="F116" s="4">
        <f t="shared" si="25"/>
        <v>4.4178947368420838</v>
      </c>
      <c r="G116" s="4"/>
      <c r="H116" s="4"/>
      <c r="I116" s="4"/>
      <c r="J116" s="4"/>
      <c r="K116" s="4"/>
      <c r="L116" s="4"/>
      <c r="M116" s="4"/>
      <c r="N116" s="4">
        <f t="shared" si="26"/>
        <v>83.9399999999996</v>
      </c>
      <c r="O116" s="4"/>
      <c r="P116" s="4"/>
    </row>
    <row r="117" spans="2:18" ht="12" customHeight="1" x14ac:dyDescent="0.25">
      <c r="B117" s="56">
        <v>43994</v>
      </c>
      <c r="D117" s="4">
        <v>3511.84</v>
      </c>
      <c r="E117" s="13">
        <f t="shared" si="27"/>
        <v>21</v>
      </c>
      <c r="F117" s="4">
        <f t="shared" si="25"/>
        <v>1.9938095238095404</v>
      </c>
      <c r="G117" s="4"/>
      <c r="H117" s="4"/>
      <c r="I117" s="4"/>
      <c r="J117" s="4"/>
      <c r="K117" s="4"/>
      <c r="L117" s="4"/>
      <c r="M117" s="4"/>
      <c r="N117" s="4">
        <f t="shared" si="26"/>
        <v>41.870000000000346</v>
      </c>
      <c r="O117" s="4"/>
      <c r="P117" s="4"/>
    </row>
    <row r="118" spans="2:18" ht="12" customHeight="1" x14ac:dyDescent="0.25">
      <c r="B118" s="56">
        <v>44038</v>
      </c>
      <c r="D118" s="4">
        <v>3570.78</v>
      </c>
      <c r="E118" s="13">
        <f t="shared" si="27"/>
        <v>44</v>
      </c>
      <c r="F118" s="4">
        <f t="shared" si="25"/>
        <v>1.3395454545454557</v>
      </c>
      <c r="G118" s="4"/>
      <c r="H118" s="4"/>
      <c r="I118" s="4"/>
      <c r="J118" s="4"/>
      <c r="K118" s="4"/>
      <c r="L118" s="4"/>
      <c r="M118" s="4"/>
      <c r="N118" s="4">
        <f t="shared" si="26"/>
        <v>58.940000000000055</v>
      </c>
      <c r="O118" s="4"/>
      <c r="P118" s="4">
        <f>D118-D109</f>
        <v>2172.59</v>
      </c>
    </row>
    <row r="119" spans="2:18" ht="12" customHeight="1" x14ac:dyDescent="0.25">
      <c r="B119" s="56">
        <v>44072</v>
      </c>
      <c r="D119" s="4">
        <v>3600.26</v>
      </c>
      <c r="E119" s="13">
        <f t="shared" si="27"/>
        <v>33</v>
      </c>
      <c r="F119" s="4">
        <f t="shared" si="25"/>
        <v>0.89333333333333387</v>
      </c>
      <c r="G119" s="4"/>
      <c r="H119" s="4"/>
      <c r="I119" s="4"/>
      <c r="J119" s="4"/>
      <c r="K119" s="4"/>
      <c r="L119" s="4"/>
      <c r="M119" s="4"/>
      <c r="N119" s="4">
        <f t="shared" si="26"/>
        <v>29.480000000000018</v>
      </c>
      <c r="O119" s="4"/>
      <c r="P119" s="4"/>
    </row>
    <row r="120" spans="2:18" ht="12" customHeight="1" x14ac:dyDescent="0.25">
      <c r="B120" s="56">
        <v>44101</v>
      </c>
      <c r="D120" s="4">
        <v>3662.21</v>
      </c>
      <c r="E120" s="13">
        <f t="shared" si="27"/>
        <v>28</v>
      </c>
      <c r="F120" s="4">
        <f t="shared" si="25"/>
        <v>2.2124999999999937</v>
      </c>
      <c r="G120" s="4"/>
      <c r="H120" s="4"/>
      <c r="I120" s="4"/>
      <c r="J120" s="4"/>
      <c r="K120" s="4"/>
      <c r="L120" s="4"/>
      <c r="M120" s="4"/>
      <c r="N120" s="4">
        <f t="shared" si="26"/>
        <v>61.949999999999818</v>
      </c>
      <c r="O120" s="4"/>
      <c r="P120" s="4">
        <f>D120-D111</f>
        <v>2080.27</v>
      </c>
    </row>
    <row r="121" spans="2:18" ht="12" customHeight="1" x14ac:dyDescent="0.25">
      <c r="B121" s="56">
        <v>44117</v>
      </c>
      <c r="D121" s="4">
        <v>3707.35</v>
      </c>
      <c r="E121" s="13">
        <f t="shared" si="27"/>
        <v>16</v>
      </c>
      <c r="F121" s="4">
        <f t="shared" si="25"/>
        <v>2.821249999999992</v>
      </c>
      <c r="G121" s="4"/>
      <c r="H121" s="4"/>
      <c r="I121" s="4"/>
      <c r="J121" s="4"/>
      <c r="K121" s="4"/>
      <c r="L121" s="4"/>
      <c r="M121" s="4"/>
      <c r="N121" s="4">
        <f t="shared" si="26"/>
        <v>45.139999999999873</v>
      </c>
      <c r="O121" s="4"/>
      <c r="P121" s="4">
        <f>D121-D111</f>
        <v>2125.41</v>
      </c>
    </row>
    <row r="122" spans="2:18" ht="12" customHeight="1" x14ac:dyDescent="0.25">
      <c r="B122" s="56">
        <v>44201</v>
      </c>
      <c r="D122" s="4">
        <v>4438.38</v>
      </c>
      <c r="E122" s="13">
        <f t="shared" si="27"/>
        <v>82</v>
      </c>
      <c r="F122" s="4">
        <f t="shared" si="25"/>
        <v>8.9150000000000027</v>
      </c>
      <c r="G122" s="4"/>
      <c r="H122" s="4"/>
      <c r="I122" s="4"/>
      <c r="J122" s="4"/>
      <c r="K122" s="4"/>
      <c r="L122" s="4"/>
      <c r="M122" s="4"/>
      <c r="N122" s="4">
        <f t="shared" si="26"/>
        <v>731.0300000000002</v>
      </c>
      <c r="O122" s="4">
        <f>B122-B113</f>
        <v>374</v>
      </c>
      <c r="P122" s="4">
        <f>D122-D113</f>
        <v>2114.8200000000002</v>
      </c>
    </row>
    <row r="123" spans="2:18" ht="12" customHeight="1" x14ac:dyDescent="0.3">
      <c r="B123" s="56">
        <v>44287</v>
      </c>
      <c r="D123" s="4">
        <v>4926.05</v>
      </c>
      <c r="E123" s="13">
        <f t="shared" si="27"/>
        <v>86</v>
      </c>
      <c r="F123" s="4">
        <f t="shared" si="25"/>
        <v>5.6705813953488384</v>
      </c>
      <c r="G123" s="4"/>
      <c r="H123" s="4"/>
      <c r="I123" s="4"/>
      <c r="J123" s="4"/>
      <c r="K123" s="4"/>
      <c r="L123" s="4"/>
      <c r="M123" s="4"/>
      <c r="N123" s="4">
        <f t="shared" si="26"/>
        <v>487.67000000000007</v>
      </c>
      <c r="O123" s="4">
        <f>B123-B115</f>
        <v>334</v>
      </c>
      <c r="P123" s="4">
        <f>D123-D115</f>
        <v>1540.02</v>
      </c>
      <c r="R123" s="47">
        <f>P123/O123*365</f>
        <v>1682.9559880239522</v>
      </c>
    </row>
    <row r="124" spans="2:18" ht="12" customHeight="1" x14ac:dyDescent="0.25">
      <c r="B124" s="56">
        <v>44332</v>
      </c>
      <c r="D124" s="4">
        <v>5146.6099999999997</v>
      </c>
      <c r="E124" s="13">
        <f t="shared" si="27"/>
        <v>45</v>
      </c>
      <c r="F124" s="4">
        <f t="shared" si="25"/>
        <v>4.901333333333322</v>
      </c>
      <c r="G124" s="4"/>
      <c r="H124" s="4"/>
      <c r="I124" s="4"/>
      <c r="J124" s="4"/>
      <c r="K124" s="4"/>
      <c r="L124" s="4"/>
      <c r="M124" s="4"/>
      <c r="N124" s="4">
        <f t="shared" si="26"/>
        <v>220.55999999999949</v>
      </c>
      <c r="O124" s="4">
        <f>B124-B116</f>
        <v>360</v>
      </c>
      <c r="P124" s="4">
        <f>D124-D116</f>
        <v>1676.6399999999999</v>
      </c>
    </row>
    <row r="125" spans="2:18" ht="12" customHeight="1" x14ac:dyDescent="0.25">
      <c r="B125" s="56">
        <v>44353</v>
      </c>
      <c r="D125" s="4">
        <v>5199.4399999999996</v>
      </c>
      <c r="E125" s="13">
        <f t="shared" si="27"/>
        <v>20</v>
      </c>
      <c r="F125" s="4">
        <f t="shared" si="25"/>
        <v>2.6414999999999962</v>
      </c>
      <c r="G125" s="4"/>
      <c r="H125" s="4"/>
      <c r="I125" s="4"/>
      <c r="J125" s="4"/>
      <c r="K125" s="4"/>
      <c r="L125" s="4"/>
      <c r="M125" s="4"/>
      <c r="N125" s="4">
        <f t="shared" si="26"/>
        <v>52.829999999999927</v>
      </c>
      <c r="O125" s="4">
        <f>B125-B117</f>
        <v>359</v>
      </c>
      <c r="P125" s="4">
        <f>D125-D117</f>
        <v>1687.5999999999995</v>
      </c>
    </row>
    <row r="126" spans="2:18" ht="12" customHeight="1" x14ac:dyDescent="0.25">
      <c r="B126" s="56">
        <v>44379</v>
      </c>
      <c r="D126" s="4">
        <v>5251.48</v>
      </c>
      <c r="E126" s="13">
        <f t="shared" si="27"/>
        <v>26</v>
      </c>
      <c r="F126" s="4">
        <f t="shared" si="25"/>
        <v>2.0015384615384599</v>
      </c>
      <c r="G126" s="4"/>
      <c r="H126" s="4"/>
      <c r="I126" s="4"/>
      <c r="J126" s="4"/>
      <c r="K126" s="4"/>
      <c r="L126" s="4"/>
      <c r="M126" s="4"/>
      <c r="N126" s="4">
        <f t="shared" si="26"/>
        <v>52.039999999999964</v>
      </c>
      <c r="O126" s="4">
        <f>B126-B118</f>
        <v>341</v>
      </c>
      <c r="P126" s="4">
        <f>D126-D118</f>
        <v>1680.6999999999994</v>
      </c>
    </row>
    <row r="127" spans="2:18" ht="12" customHeight="1" x14ac:dyDescent="0.25">
      <c r="B127" s="56">
        <v>44397</v>
      </c>
      <c r="D127" s="4">
        <v>5295.15</v>
      </c>
      <c r="E127" s="13">
        <f t="shared" si="27"/>
        <v>18</v>
      </c>
      <c r="F127" s="4">
        <f t="shared" si="25"/>
        <v>2.4261111111111151</v>
      </c>
      <c r="G127" s="4"/>
      <c r="H127" s="4"/>
      <c r="I127" s="4"/>
      <c r="J127" s="4"/>
      <c r="K127" s="4"/>
      <c r="L127" s="4"/>
      <c r="M127" s="4"/>
      <c r="N127" s="4">
        <f t="shared" si="26"/>
        <v>43.670000000000073</v>
      </c>
      <c r="O127" s="4">
        <f>B127-B118</f>
        <v>359</v>
      </c>
      <c r="P127" s="4">
        <f>D127-D118</f>
        <v>1724.3699999999994</v>
      </c>
    </row>
    <row r="128" spans="2:18" ht="12" customHeight="1" x14ac:dyDescent="0.25">
      <c r="B128" s="56">
        <v>44428</v>
      </c>
      <c r="D128" s="4">
        <v>5324.43</v>
      </c>
      <c r="E128" s="13">
        <f t="shared" si="27"/>
        <v>30</v>
      </c>
      <c r="F128" s="4">
        <f t="shared" si="25"/>
        <v>0.97600000000002185</v>
      </c>
      <c r="G128" s="4"/>
      <c r="H128" s="4"/>
      <c r="I128" s="4"/>
      <c r="J128" s="4"/>
      <c r="K128" s="4"/>
      <c r="L128" s="4"/>
      <c r="M128" s="4"/>
      <c r="N128" s="4">
        <f t="shared" si="26"/>
        <v>29.280000000000655</v>
      </c>
      <c r="O128" s="4">
        <f>B128-B119</f>
        <v>356</v>
      </c>
      <c r="P128" s="4">
        <f>D128-D119</f>
        <v>1724.17</v>
      </c>
    </row>
    <row r="129" spans="2:16" ht="12" customHeight="1" x14ac:dyDescent="0.25">
      <c r="B129" s="56">
        <v>44479</v>
      </c>
      <c r="D129" s="4">
        <v>5511.95</v>
      </c>
      <c r="E129" s="13">
        <f t="shared" si="27"/>
        <v>50</v>
      </c>
      <c r="F129" s="4">
        <f t="shared" si="25"/>
        <v>3.7503999999999906</v>
      </c>
      <c r="G129" s="4"/>
      <c r="H129" s="4"/>
      <c r="I129" s="4"/>
      <c r="J129" s="4"/>
      <c r="K129" s="4"/>
      <c r="L129" s="4"/>
      <c r="M129" s="4"/>
      <c r="N129" s="4">
        <f t="shared" si="26"/>
        <v>187.51999999999953</v>
      </c>
      <c r="O129" s="4">
        <f>B129-B121</f>
        <v>362</v>
      </c>
      <c r="P129" s="4">
        <f>D129-D121</f>
        <v>1804.6</v>
      </c>
    </row>
    <row r="130" spans="2:16" ht="12" customHeight="1" x14ac:dyDescent="0.25">
      <c r="B130" s="58">
        <v>44527</v>
      </c>
      <c r="D130" s="4">
        <v>5819.9</v>
      </c>
      <c r="E130" s="13">
        <f t="shared" si="27"/>
        <v>47</v>
      </c>
      <c r="F130" s="4">
        <f t="shared" si="25"/>
        <v>6.552127659574464</v>
      </c>
      <c r="G130" s="4"/>
      <c r="H130" s="4"/>
      <c r="I130" s="4"/>
      <c r="J130" s="4"/>
      <c r="K130" s="4"/>
      <c r="L130" s="4"/>
      <c r="M130" s="4"/>
      <c r="N130" s="4">
        <f t="shared" si="26"/>
        <v>307.94999999999982</v>
      </c>
      <c r="O130" s="4"/>
      <c r="P130" s="4"/>
    </row>
    <row r="131" spans="2:16" ht="12" customHeight="1" x14ac:dyDescent="0.25">
      <c r="B131" s="56">
        <v>44563</v>
      </c>
      <c r="D131" s="4">
        <v>5910.14</v>
      </c>
      <c r="E131" s="13">
        <f t="shared" si="27"/>
        <v>35</v>
      </c>
      <c r="F131" s="4">
        <f t="shared" si="25"/>
        <v>2.5782857142857338</v>
      </c>
      <c r="G131" s="4"/>
      <c r="H131" s="4"/>
      <c r="I131" s="4"/>
      <c r="J131" s="4"/>
      <c r="K131" s="4"/>
      <c r="L131" s="4"/>
      <c r="M131" s="4"/>
      <c r="N131" s="4">
        <f t="shared" si="26"/>
        <v>90.240000000000691</v>
      </c>
      <c r="O131" s="4">
        <f>B131-B122</f>
        <v>362</v>
      </c>
      <c r="P131" s="4">
        <f>D131-D122</f>
        <v>1471.7600000000002</v>
      </c>
    </row>
    <row r="132" spans="2:16" ht="12" customHeight="1" x14ac:dyDescent="0.25">
      <c r="B132" s="56">
        <v>44611</v>
      </c>
      <c r="D132" s="4">
        <v>6231.45</v>
      </c>
      <c r="E132" s="13">
        <f t="shared" si="27"/>
        <v>47</v>
      </c>
      <c r="F132" s="4">
        <f t="shared" si="25"/>
        <v>6.8363829787233934</v>
      </c>
      <c r="G132" s="4"/>
      <c r="H132" s="4"/>
      <c r="I132" s="4"/>
      <c r="J132" s="4"/>
      <c r="K132" s="4"/>
      <c r="L132" s="4"/>
      <c r="M132" s="4"/>
      <c r="N132" s="4">
        <f t="shared" si="26"/>
        <v>321.30999999999949</v>
      </c>
      <c r="O132" s="4">
        <f>B132-B122</f>
        <v>410</v>
      </c>
      <c r="P132" s="4"/>
    </row>
    <row r="133" spans="2:16" ht="12" customHeight="1" x14ac:dyDescent="0.25">
      <c r="B133" s="56">
        <v>44657</v>
      </c>
      <c r="C133" s="1" t="s">
        <v>63</v>
      </c>
      <c r="D133" s="4">
        <v>6741</v>
      </c>
      <c r="E133" s="13">
        <f t="shared" si="27"/>
        <v>47</v>
      </c>
      <c r="F133" s="4">
        <f t="shared" si="25"/>
        <v>10.841489361702132</v>
      </c>
      <c r="G133" s="4"/>
      <c r="H133" s="4"/>
      <c r="I133" s="4"/>
      <c r="J133" s="4"/>
      <c r="K133" s="4"/>
      <c r="L133" s="4"/>
      <c r="M133" s="4"/>
      <c r="N133" s="4">
        <f t="shared" si="26"/>
        <v>509.55000000000018</v>
      </c>
      <c r="O133" s="4">
        <f>B133-B123</f>
        <v>370</v>
      </c>
      <c r="P133" s="4">
        <f>D133-D123</f>
        <v>1814.9499999999998</v>
      </c>
    </row>
    <row r="134" spans="2:16" ht="12" customHeight="1" x14ac:dyDescent="0.25">
      <c r="B134" s="56">
        <v>44716</v>
      </c>
      <c r="D134" s="4">
        <v>6824.36</v>
      </c>
      <c r="E134" s="13">
        <f t="shared" si="27"/>
        <v>58</v>
      </c>
      <c r="F134" s="4">
        <f t="shared" si="25"/>
        <v>1.4372413793103391</v>
      </c>
      <c r="G134" s="4"/>
      <c r="H134" s="4"/>
      <c r="I134" s="4"/>
      <c r="J134" s="4"/>
      <c r="K134" s="4"/>
      <c r="L134" s="4"/>
      <c r="M134" s="4"/>
      <c r="N134" s="4">
        <f t="shared" si="26"/>
        <v>83.359999999999673</v>
      </c>
      <c r="O134" s="4">
        <f>B134-B125</f>
        <v>363</v>
      </c>
      <c r="P134" s="4">
        <f>D134-D125</f>
        <v>1624.92</v>
      </c>
    </row>
    <row r="135" spans="2:16" ht="12" customHeight="1" x14ac:dyDescent="0.25">
      <c r="B135" s="56">
        <v>44752</v>
      </c>
      <c r="D135" s="4">
        <v>6875.85</v>
      </c>
      <c r="E135" s="13">
        <f t="shared" si="27"/>
        <v>36</v>
      </c>
      <c r="F135" s="4">
        <f t="shared" si="25"/>
        <v>1.4302777777777971</v>
      </c>
      <c r="G135" s="4"/>
      <c r="H135" s="4"/>
      <c r="I135" s="4"/>
      <c r="J135" s="4"/>
      <c r="K135" s="4"/>
      <c r="L135" s="4"/>
      <c r="M135" s="4"/>
      <c r="N135" s="4">
        <f t="shared" si="26"/>
        <v>51.490000000000691</v>
      </c>
      <c r="O135" s="4">
        <f>B135-B127</f>
        <v>355</v>
      </c>
      <c r="P135" s="4">
        <f>D135-D127</f>
        <v>1580.7000000000007</v>
      </c>
    </row>
    <row r="136" spans="2:16" ht="12" customHeight="1" x14ac:dyDescent="0.25">
      <c r="B136" s="56">
        <v>44766</v>
      </c>
      <c r="D136" s="4">
        <v>6890.21</v>
      </c>
      <c r="E136" s="13">
        <f t="shared" si="27"/>
        <v>14</v>
      </c>
      <c r="F136" s="4">
        <f t="shared" si="25"/>
        <v>1.0257142857142623</v>
      </c>
      <c r="G136" s="4"/>
      <c r="H136" s="4"/>
      <c r="I136" s="4"/>
      <c r="J136" s="4"/>
      <c r="K136" s="4"/>
      <c r="L136" s="4"/>
      <c r="M136" s="4"/>
      <c r="N136" s="4">
        <f t="shared" si="26"/>
        <v>14.359999999999673</v>
      </c>
      <c r="O136" s="4">
        <f>B136-B127</f>
        <v>369</v>
      </c>
      <c r="P136" s="4">
        <f>D136-D127</f>
        <v>1595.0600000000004</v>
      </c>
    </row>
    <row r="137" spans="2:16" ht="12" customHeight="1" x14ac:dyDescent="0.25">
      <c r="B137" s="56">
        <v>44793</v>
      </c>
      <c r="D137" s="4">
        <v>6916.32</v>
      </c>
      <c r="E137" s="13">
        <f t="shared" si="27"/>
        <v>26</v>
      </c>
      <c r="F137" s="4">
        <f t="shared" si="25"/>
        <v>1.0042307692307566</v>
      </c>
      <c r="G137" s="4"/>
      <c r="H137" s="4"/>
      <c r="I137" s="4"/>
      <c r="J137" s="4"/>
      <c r="K137" s="4"/>
      <c r="L137" s="4"/>
      <c r="M137" s="4"/>
      <c r="N137" s="4">
        <f t="shared" si="26"/>
        <v>26.109999999999673</v>
      </c>
      <c r="O137" s="4">
        <f>B137-B128</f>
        <v>365</v>
      </c>
      <c r="P137" s="4">
        <f>D137-D128</f>
        <v>1591.8899999999994</v>
      </c>
    </row>
    <row r="138" spans="2:16" ht="12" customHeight="1" x14ac:dyDescent="0.25">
      <c r="B138" s="56">
        <v>44827</v>
      </c>
      <c r="D138" s="4">
        <v>6991.88</v>
      </c>
      <c r="E138" s="13">
        <f t="shared" si="27"/>
        <v>33</v>
      </c>
      <c r="F138" s="4">
        <f t="shared" si="25"/>
        <v>2.289696969696982</v>
      </c>
      <c r="G138" s="4"/>
      <c r="H138" s="4"/>
      <c r="I138" s="4"/>
      <c r="J138" s="4"/>
      <c r="K138" s="4"/>
      <c r="L138" s="4"/>
      <c r="M138" s="4"/>
      <c r="N138" s="4">
        <f t="shared" si="26"/>
        <v>75.5600000000004</v>
      </c>
      <c r="O138" s="4">
        <f>B137-B128</f>
        <v>365</v>
      </c>
      <c r="P138" s="4">
        <f>D137-D128</f>
        <v>1591.8899999999994</v>
      </c>
    </row>
    <row r="139" spans="2:16" ht="12" customHeight="1" x14ac:dyDescent="0.25">
      <c r="B139" s="56">
        <v>44852</v>
      </c>
      <c r="D139" s="4">
        <v>7112.02</v>
      </c>
      <c r="E139" s="13">
        <f t="shared" si="27"/>
        <v>25</v>
      </c>
      <c r="F139" s="4">
        <f t="shared" si="25"/>
        <v>4.8056000000000134</v>
      </c>
      <c r="G139" s="4"/>
      <c r="H139" s="4"/>
      <c r="I139" s="4"/>
      <c r="J139" s="4"/>
      <c r="K139" s="4"/>
      <c r="L139" s="4"/>
      <c r="M139" s="4"/>
      <c r="N139" s="4">
        <f t="shared" si="26"/>
        <v>120.14000000000033</v>
      </c>
      <c r="O139" s="4">
        <f>B139-B129</f>
        <v>373</v>
      </c>
      <c r="P139" s="4">
        <f>D139-D129</f>
        <v>1600.0700000000006</v>
      </c>
    </row>
    <row r="140" spans="2:16" ht="12" customHeight="1" x14ac:dyDescent="0.25">
      <c r="B140" s="56">
        <v>44931</v>
      </c>
      <c r="D140" s="4">
        <v>7681.25</v>
      </c>
      <c r="E140" s="13">
        <f t="shared" si="27"/>
        <v>77</v>
      </c>
      <c r="F140" s="4">
        <f t="shared" si="25"/>
        <v>7.3925974025973966</v>
      </c>
      <c r="G140" s="4"/>
      <c r="H140" s="4"/>
      <c r="I140" s="4"/>
      <c r="J140" s="4"/>
      <c r="K140" s="4"/>
      <c r="L140" s="4"/>
      <c r="M140" s="4"/>
      <c r="N140" s="4">
        <f t="shared" si="26"/>
        <v>569.22999999999956</v>
      </c>
      <c r="O140" s="4">
        <f>B140-B131</f>
        <v>368</v>
      </c>
      <c r="P140" s="4">
        <f>D140-D131</f>
        <v>1771.1099999999997</v>
      </c>
    </row>
    <row r="141" spans="2:16" ht="12" customHeight="1" x14ac:dyDescent="0.25">
      <c r="B141" s="56">
        <v>44989</v>
      </c>
      <c r="D141" s="4">
        <v>8148.29</v>
      </c>
      <c r="E141" s="13">
        <f t="shared" si="27"/>
        <v>59</v>
      </c>
      <c r="F141" s="4">
        <f t="shared" si="25"/>
        <v>7.9159322033898301</v>
      </c>
      <c r="G141" s="4"/>
      <c r="H141" s="4"/>
      <c r="I141" s="4"/>
      <c r="J141" s="4"/>
      <c r="K141" s="4"/>
      <c r="L141" s="4"/>
      <c r="M141" s="4"/>
      <c r="N141" s="4">
        <f t="shared" si="26"/>
        <v>467.03999999999996</v>
      </c>
      <c r="O141" s="4">
        <f>B141-B132</f>
        <v>378</v>
      </c>
      <c r="P141" s="4">
        <f>D141-D132</f>
        <v>1916.8400000000001</v>
      </c>
    </row>
    <row r="142" spans="2:16" ht="12" customHeight="1" x14ac:dyDescent="0.25">
      <c r="B142" s="56">
        <v>45025</v>
      </c>
      <c r="D142" s="4">
        <v>8426.2199999999993</v>
      </c>
      <c r="E142" s="13">
        <f t="shared" si="27"/>
        <v>35</v>
      </c>
      <c r="F142" s="4">
        <f t="shared" si="25"/>
        <v>7.9408571428571255</v>
      </c>
      <c r="G142" s="4"/>
      <c r="H142" s="4"/>
      <c r="I142" s="4"/>
      <c r="J142" s="4"/>
      <c r="K142" s="4"/>
      <c r="L142" s="4"/>
      <c r="M142" s="4"/>
      <c r="N142" s="4">
        <f t="shared" si="26"/>
        <v>277.92999999999938</v>
      </c>
      <c r="O142" s="4">
        <f>B142-B133</f>
        <v>368</v>
      </c>
      <c r="P142" s="4">
        <f>D142-D133</f>
        <v>1685.2199999999993</v>
      </c>
    </row>
    <row r="143" spans="2:16" ht="12" customHeight="1" x14ac:dyDescent="0.25">
      <c r="B143" s="56">
        <v>45047</v>
      </c>
      <c r="D143" s="1">
        <v>8517.94</v>
      </c>
      <c r="E143" s="13">
        <f t="shared" si="27"/>
        <v>22</v>
      </c>
      <c r="F143" s="4">
        <f t="shared" si="25"/>
        <v>4.1690909090909622</v>
      </c>
      <c r="G143" s="4"/>
      <c r="H143" s="4"/>
      <c r="I143" s="4"/>
      <c r="J143" s="4"/>
      <c r="K143" s="4"/>
      <c r="L143" s="4"/>
      <c r="M143" s="4"/>
      <c r="N143" s="4">
        <f t="shared" si="26"/>
        <v>91.720000000001164</v>
      </c>
      <c r="O143" s="4">
        <f>B143-B134</f>
        <v>331</v>
      </c>
      <c r="P143" s="4">
        <f>D143-D134</f>
        <v>1693.5800000000008</v>
      </c>
    </row>
    <row r="144" spans="2:16" ht="12" customHeight="1" x14ac:dyDescent="0.25">
      <c r="B144" s="56">
        <v>45082</v>
      </c>
      <c r="D144" s="4">
        <v>8629.6299999999992</v>
      </c>
      <c r="E144" s="13">
        <f t="shared" si="27"/>
        <v>34</v>
      </c>
      <c r="F144" s="4">
        <f t="shared" si="25"/>
        <v>3.2849999999999615</v>
      </c>
      <c r="G144" s="4"/>
      <c r="H144" s="4"/>
      <c r="I144" s="4"/>
      <c r="J144" s="4"/>
      <c r="K144" s="4"/>
      <c r="L144" s="4"/>
      <c r="M144" s="4"/>
      <c r="N144" s="4">
        <f t="shared" si="26"/>
        <v>111.68999999999869</v>
      </c>
      <c r="O144" s="4">
        <f t="shared" ref="O144:O150" si="28">B144-B134</f>
        <v>366</v>
      </c>
      <c r="P144" s="4">
        <f t="shared" ref="P144:P150" si="29">D144-D134</f>
        <v>1805.2699999999995</v>
      </c>
    </row>
    <row r="145" spans="2:20" ht="12" customHeight="1" x14ac:dyDescent="0.25">
      <c r="B145" s="56">
        <v>45099</v>
      </c>
      <c r="D145" s="4">
        <v>8659.2099999999991</v>
      </c>
      <c r="E145" s="13">
        <f t="shared" si="27"/>
        <v>17</v>
      </c>
      <c r="F145" s="4">
        <f t="shared" si="25"/>
        <v>1.7399999999999958</v>
      </c>
      <c r="G145" s="4"/>
      <c r="H145" s="4"/>
      <c r="I145" s="4"/>
      <c r="J145" s="4"/>
      <c r="K145" s="4"/>
      <c r="L145" s="4"/>
      <c r="M145" s="4"/>
      <c r="N145" s="4">
        <f t="shared" si="26"/>
        <v>29.579999999999927</v>
      </c>
      <c r="O145" s="4">
        <f t="shared" si="28"/>
        <v>347</v>
      </c>
      <c r="P145" s="4">
        <f t="shared" si="29"/>
        <v>1783.3599999999988</v>
      </c>
    </row>
    <row r="146" spans="2:20" ht="12" customHeight="1" x14ac:dyDescent="0.25">
      <c r="B146" s="56">
        <v>45122</v>
      </c>
      <c r="D146" s="4">
        <v>8684.2900000000009</v>
      </c>
      <c r="E146" s="13">
        <f t="shared" si="27"/>
        <v>23</v>
      </c>
      <c r="F146" s="4">
        <f t="shared" si="25"/>
        <v>1.0904347826087715</v>
      </c>
      <c r="G146" s="4"/>
      <c r="H146" s="4"/>
      <c r="I146" s="4"/>
      <c r="J146" s="4"/>
      <c r="K146" s="4"/>
      <c r="L146" s="4"/>
      <c r="M146" s="4"/>
      <c r="N146" s="4">
        <f t="shared" si="26"/>
        <v>25.080000000001746</v>
      </c>
      <c r="O146" s="4">
        <f t="shared" si="28"/>
        <v>356</v>
      </c>
      <c r="P146" s="4">
        <f t="shared" si="29"/>
        <v>1794.0800000000008</v>
      </c>
    </row>
    <row r="147" spans="2:20" ht="12" customHeight="1" x14ac:dyDescent="0.25">
      <c r="B147" s="56">
        <v>45146</v>
      </c>
      <c r="D147" s="4">
        <v>8706.9699999999993</v>
      </c>
      <c r="E147" s="13">
        <f t="shared" ref="E147:E153" si="30">DAYS360(B146,B147)</f>
        <v>23</v>
      </c>
      <c r="F147" s="4">
        <f t="shared" si="25"/>
        <v>0.98608695652167266</v>
      </c>
      <c r="G147" s="4"/>
      <c r="H147" s="4"/>
      <c r="I147" s="4"/>
      <c r="J147" s="4"/>
      <c r="K147" s="4"/>
      <c r="L147" s="4"/>
      <c r="M147" s="4"/>
      <c r="N147" s="4">
        <f t="shared" si="26"/>
        <v>22.679999999998472</v>
      </c>
      <c r="O147" s="4">
        <f t="shared" si="28"/>
        <v>353</v>
      </c>
      <c r="P147" s="4">
        <f t="shared" si="29"/>
        <v>1790.6499999999996</v>
      </c>
    </row>
    <row r="148" spans="2:20" ht="12" customHeight="1" x14ac:dyDescent="0.25">
      <c r="B148" s="56">
        <v>45179</v>
      </c>
      <c r="D148" s="4">
        <v>8743.17</v>
      </c>
      <c r="E148" s="13">
        <f t="shared" si="30"/>
        <v>32</v>
      </c>
      <c r="F148" s="4">
        <f t="shared" si="25"/>
        <v>1.1312500000000227</v>
      </c>
      <c r="G148" s="4"/>
      <c r="H148" s="4"/>
      <c r="I148" s="4"/>
      <c r="J148" s="4"/>
      <c r="K148" s="4"/>
      <c r="L148" s="4"/>
      <c r="M148" s="4"/>
      <c r="N148" s="4">
        <f t="shared" si="26"/>
        <v>36.200000000000728</v>
      </c>
      <c r="O148" s="4">
        <f t="shared" si="28"/>
        <v>352</v>
      </c>
      <c r="P148" s="4">
        <f t="shared" si="29"/>
        <v>1751.29</v>
      </c>
    </row>
    <row r="149" spans="2:20" ht="12" customHeight="1" x14ac:dyDescent="0.25">
      <c r="B149" s="56">
        <v>45234</v>
      </c>
      <c r="D149" s="4">
        <v>9075.84</v>
      </c>
      <c r="E149" s="13">
        <f t="shared" si="30"/>
        <v>54</v>
      </c>
      <c r="F149" s="4">
        <f t="shared" si="25"/>
        <v>6.1605555555555567</v>
      </c>
      <c r="G149" s="4"/>
      <c r="H149" s="4"/>
      <c r="I149" s="4"/>
      <c r="J149" s="4"/>
      <c r="K149" s="4"/>
      <c r="L149" s="4"/>
      <c r="M149" s="4"/>
      <c r="N149" s="4">
        <f t="shared" si="26"/>
        <v>332.67000000000007</v>
      </c>
      <c r="O149" s="4">
        <f t="shared" si="28"/>
        <v>382</v>
      </c>
      <c r="P149" s="4">
        <f t="shared" si="29"/>
        <v>1963.8199999999997</v>
      </c>
    </row>
    <row r="150" spans="2:20" ht="12" customHeight="1" x14ac:dyDescent="0.25">
      <c r="B150" s="56">
        <v>45259</v>
      </c>
      <c r="D150" s="4">
        <v>9217.2900000000009</v>
      </c>
      <c r="E150" s="13">
        <f t="shared" si="30"/>
        <v>25</v>
      </c>
      <c r="F150" s="4">
        <f t="shared" si="25"/>
        <v>5.6580000000000288</v>
      </c>
      <c r="G150" s="4"/>
      <c r="H150" s="4"/>
      <c r="I150" s="4"/>
      <c r="J150" s="4"/>
      <c r="K150" s="4"/>
      <c r="L150" s="4"/>
      <c r="M150" s="4"/>
      <c r="N150" s="4">
        <f t="shared" si="26"/>
        <v>141.45000000000073</v>
      </c>
      <c r="O150" s="4">
        <f t="shared" si="28"/>
        <v>328</v>
      </c>
      <c r="P150" s="4">
        <f t="shared" si="29"/>
        <v>1536.0400000000009</v>
      </c>
    </row>
    <row r="151" spans="2:20" ht="12" customHeight="1" x14ac:dyDescent="0.25">
      <c r="B151" s="56">
        <v>45289</v>
      </c>
      <c r="D151" s="4">
        <v>9614.07</v>
      </c>
      <c r="E151" s="13">
        <f t="shared" si="30"/>
        <v>30</v>
      </c>
      <c r="F151" s="4">
        <f t="shared" si="25"/>
        <v>13.225999999999962</v>
      </c>
      <c r="G151" s="4"/>
      <c r="H151" s="4"/>
      <c r="I151" s="4"/>
      <c r="J151" s="4"/>
      <c r="K151" s="4"/>
      <c r="L151" s="4"/>
      <c r="M151" s="4"/>
      <c r="N151" s="4">
        <f t="shared" si="26"/>
        <v>396.77999999999884</v>
      </c>
      <c r="O151" s="4">
        <f>B151-B140</f>
        <v>358</v>
      </c>
      <c r="P151" s="4">
        <f>D151-D140</f>
        <v>1932.8199999999997</v>
      </c>
    </row>
    <row r="152" spans="2:20" ht="12" customHeight="1" x14ac:dyDescent="0.25">
      <c r="B152" s="56">
        <v>45331</v>
      </c>
      <c r="D152" s="4">
        <v>10288.6</v>
      </c>
      <c r="E152" s="13">
        <f t="shared" si="30"/>
        <v>40</v>
      </c>
      <c r="F152" s="4">
        <f t="shared" si="25"/>
        <v>16.863250000000015</v>
      </c>
      <c r="G152" s="4"/>
      <c r="H152" s="4"/>
      <c r="I152" s="4"/>
      <c r="J152" s="4"/>
      <c r="K152" s="4"/>
      <c r="L152" s="4"/>
      <c r="M152" s="4"/>
      <c r="N152" s="4">
        <f t="shared" si="26"/>
        <v>674.53000000000065</v>
      </c>
      <c r="O152" s="4">
        <f>B152-B140</f>
        <v>400</v>
      </c>
      <c r="P152" s="4">
        <f>D152-D141</f>
        <v>2140.3100000000004</v>
      </c>
    </row>
    <row r="153" spans="2:20" ht="12" customHeight="1" x14ac:dyDescent="0.25">
      <c r="B153" s="56">
        <v>45360</v>
      </c>
      <c r="D153" s="4">
        <v>10601.19</v>
      </c>
      <c r="E153" s="13">
        <f t="shared" si="30"/>
        <v>30</v>
      </c>
      <c r="F153" s="4">
        <f t="shared" si="25"/>
        <v>10.419666666666672</v>
      </c>
      <c r="G153" s="4"/>
      <c r="H153" s="4"/>
      <c r="I153" s="4"/>
      <c r="J153" s="4"/>
      <c r="K153" s="4"/>
      <c r="L153" s="4"/>
      <c r="M153" s="4"/>
      <c r="N153" s="4">
        <f t="shared" ref="N153" si="31">D153-D152</f>
        <v>312.59000000000015</v>
      </c>
      <c r="O153" s="4">
        <f>B153-B141</f>
        <v>371</v>
      </c>
      <c r="P153" s="4">
        <f>D153-D141</f>
        <v>2452.9000000000005</v>
      </c>
    </row>
    <row r="154" spans="2:20" ht="12" customHeight="1" x14ac:dyDescent="0.25">
      <c r="B154" s="56">
        <v>45384</v>
      </c>
      <c r="D154" s="4">
        <v>10758.12</v>
      </c>
      <c r="E154" s="13">
        <f t="shared" ref="E154" si="32">DAYS360(B153,B154)</f>
        <v>23</v>
      </c>
      <c r="F154" s="4">
        <f t="shared" ref="F154" si="33">(D154-D153)/E154</f>
        <v>6.8230434782608826</v>
      </c>
      <c r="G154" s="4"/>
      <c r="H154" s="4"/>
      <c r="I154" s="4"/>
      <c r="J154" s="4"/>
      <c r="K154" s="4"/>
      <c r="L154" s="4"/>
      <c r="M154" s="4"/>
      <c r="N154" s="4">
        <f t="shared" ref="N154:N155" si="34">D154-D153</f>
        <v>156.93000000000029</v>
      </c>
      <c r="O154" s="4">
        <f>B154-B142</f>
        <v>359</v>
      </c>
      <c r="P154" s="4">
        <f>D154-D142</f>
        <v>2331.9000000000015</v>
      </c>
      <c r="T154" s="77"/>
    </row>
    <row r="155" spans="2:20" ht="12" customHeight="1" x14ac:dyDescent="0.25">
      <c r="B155" s="56">
        <v>45398</v>
      </c>
      <c r="D155" s="4">
        <v>10831.66</v>
      </c>
      <c r="E155" s="13">
        <f t="shared" ref="E155" si="35">DAYS360(B154,B155)</f>
        <v>14</v>
      </c>
      <c r="F155" s="4">
        <f t="shared" ref="F155" si="36">(D155-D154)/E155</f>
        <v>5.2528571428570752</v>
      </c>
      <c r="G155" s="4"/>
      <c r="H155" s="4"/>
      <c r="I155" s="4"/>
      <c r="J155" s="4"/>
      <c r="K155" s="4"/>
      <c r="L155" s="4"/>
      <c r="M155" s="4"/>
      <c r="N155" s="4">
        <f t="shared" si="34"/>
        <v>73.539999999999054</v>
      </c>
      <c r="O155" s="4">
        <f>B155-B142</f>
        <v>373</v>
      </c>
      <c r="P155" s="4">
        <f>D155-D142</f>
        <v>2405.4400000000005</v>
      </c>
    </row>
    <row r="156" spans="2:20" ht="12" customHeight="1" x14ac:dyDescent="0.25">
      <c r="B156" s="56">
        <v>45459</v>
      </c>
      <c r="D156" s="4">
        <v>10986.64</v>
      </c>
      <c r="E156" s="13">
        <f t="shared" ref="E156" si="37">DAYS360(B155,B156)</f>
        <v>60</v>
      </c>
      <c r="F156" s="4">
        <f t="shared" ref="F156" si="38">(D156-D155)/E156</f>
        <v>2.5829999999999926</v>
      </c>
      <c r="G156" s="4"/>
      <c r="H156" s="4"/>
      <c r="I156" s="4"/>
      <c r="J156" s="4"/>
      <c r="K156" s="4"/>
      <c r="L156" s="4"/>
      <c r="M156" s="4"/>
      <c r="N156" s="4">
        <f>D156-D155</f>
        <v>154.97999999999956</v>
      </c>
      <c r="O156" s="4">
        <f>B156-B145</f>
        <v>360</v>
      </c>
      <c r="P156" s="4">
        <f>D156-D145</f>
        <v>2327.4300000000003</v>
      </c>
    </row>
    <row r="157" spans="2:20" ht="12" customHeight="1" x14ac:dyDescent="0.25">
      <c r="B157" s="56">
        <v>45472</v>
      </c>
      <c r="D157" s="4">
        <v>10996.2</v>
      </c>
      <c r="E157" s="13">
        <f t="shared" ref="E157" si="39">DAYS360(B156,B157)</f>
        <v>13</v>
      </c>
      <c r="F157" s="4">
        <f t="shared" ref="F157" si="40">(D157-D156)/E157</f>
        <v>0.73538461538471611</v>
      </c>
      <c r="G157" s="4"/>
      <c r="H157" s="4"/>
      <c r="I157" s="4"/>
      <c r="J157" s="4"/>
      <c r="K157" s="4"/>
      <c r="L157" s="4"/>
      <c r="M157" s="4"/>
      <c r="N157" s="4">
        <f>D157-D156</f>
        <v>9.5600000000013097</v>
      </c>
      <c r="O157" s="4">
        <f>B157-B145</f>
        <v>373</v>
      </c>
      <c r="P157" s="4">
        <f>D157-D145</f>
        <v>2336.9900000000016</v>
      </c>
    </row>
    <row r="158" spans="2:20" ht="12" customHeight="1" x14ac:dyDescent="0.25">
      <c r="B158" s="56">
        <v>45500</v>
      </c>
      <c r="D158" s="4">
        <v>11011.17</v>
      </c>
      <c r="E158" s="13">
        <f t="shared" ref="E158" si="41">DAYS360(B157,B158)</f>
        <v>28</v>
      </c>
      <c r="F158" s="4">
        <f t="shared" ref="F158" si="42">(D158-D157)/E158</f>
        <v>0.53464285714283377</v>
      </c>
      <c r="G158" s="4"/>
      <c r="H158" s="4"/>
      <c r="I158" s="4"/>
      <c r="J158" s="4"/>
      <c r="K158" s="4"/>
      <c r="L158" s="4"/>
      <c r="M158" s="4"/>
      <c r="N158" s="4">
        <f>D158-D157</f>
        <v>14.969999999999345</v>
      </c>
      <c r="O158" s="4">
        <f>B158-B147</f>
        <v>354</v>
      </c>
      <c r="P158" s="4">
        <f>D158-D147</f>
        <v>2304.2000000000007</v>
      </c>
    </row>
    <row r="159" spans="2:20" ht="12" customHeight="1" x14ac:dyDescent="0.25">
      <c r="B159" s="56">
        <v>45522</v>
      </c>
      <c r="D159" s="4">
        <v>11017.25</v>
      </c>
      <c r="E159" s="13">
        <f t="shared" ref="E159" si="43">DAYS360(B158,B159)</f>
        <v>21</v>
      </c>
      <c r="F159" s="4">
        <f t="shared" ref="F159" si="44">(D159-D158)/E159</f>
        <v>0.28952380952380607</v>
      </c>
      <c r="G159" s="4"/>
      <c r="H159" s="4"/>
      <c r="I159" s="4"/>
      <c r="J159" s="4"/>
      <c r="K159" s="4"/>
      <c r="L159" s="4"/>
      <c r="M159" s="4"/>
      <c r="N159" s="4">
        <f>D159-D156</f>
        <v>30.610000000000582</v>
      </c>
      <c r="O159" s="4">
        <f>B159-B147</f>
        <v>376</v>
      </c>
      <c r="P159" s="4">
        <f>D159-D147</f>
        <v>2310.2800000000007</v>
      </c>
    </row>
    <row r="160" spans="2:20" ht="12" customHeight="1" x14ac:dyDescent="0.25">
      <c r="B160" s="56">
        <v>45536</v>
      </c>
      <c r="D160" s="4">
        <v>11022.12</v>
      </c>
      <c r="E160" s="13">
        <f t="shared" ref="E160" si="45">DAYS360(B159,B160)</f>
        <v>13</v>
      </c>
      <c r="F160" s="4">
        <f t="shared" ref="F160" si="46">(D160-D159)/E160</f>
        <v>0.37461538461544619</v>
      </c>
      <c r="G160" s="4"/>
      <c r="H160" s="4"/>
      <c r="I160" s="4"/>
      <c r="J160" s="4"/>
      <c r="K160" s="4"/>
      <c r="L160" s="4"/>
      <c r="M160" s="4"/>
      <c r="N160" s="4">
        <f>D160-D157</f>
        <v>25.920000000000073</v>
      </c>
      <c r="O160" s="4">
        <f>B160-B148</f>
        <v>357</v>
      </c>
      <c r="P160" s="4">
        <f>D160-D148</f>
        <v>2278.9500000000007</v>
      </c>
    </row>
    <row r="161" spans="2:20" ht="12" customHeight="1" x14ac:dyDescent="0.25">
      <c r="B161" s="56">
        <v>45574</v>
      </c>
      <c r="D161" s="4">
        <v>11096.08</v>
      </c>
      <c r="E161" s="13">
        <f t="shared" ref="E161:E162" si="47">DAYS360(B160,B161)</f>
        <v>38</v>
      </c>
      <c r="F161" s="4">
        <f t="shared" ref="F161:F162" si="48">(D161-D160)/E161</f>
        <v>1.9463157894736611</v>
      </c>
      <c r="G161" s="4"/>
      <c r="H161" s="4"/>
      <c r="I161" s="4"/>
      <c r="J161" s="4"/>
      <c r="K161" s="4"/>
      <c r="L161" s="4"/>
      <c r="M161" s="4"/>
      <c r="N161" s="4">
        <f>D161-D160</f>
        <v>73.959999999999127</v>
      </c>
      <c r="O161" s="4">
        <f>B161-B149</f>
        <v>340</v>
      </c>
      <c r="P161" s="4">
        <f>D161-D149</f>
        <v>2020.2399999999998</v>
      </c>
    </row>
    <row r="162" spans="2:20" ht="12" customHeight="1" x14ac:dyDescent="0.25">
      <c r="B162" s="56">
        <v>45606</v>
      </c>
      <c r="D162" s="4">
        <v>11280.89</v>
      </c>
      <c r="E162" s="13">
        <f t="shared" si="47"/>
        <v>31</v>
      </c>
      <c r="F162" s="4">
        <f t="shared" si="48"/>
        <v>5.9616129032257899</v>
      </c>
      <c r="G162" s="4"/>
      <c r="H162" s="4"/>
      <c r="I162" s="4"/>
      <c r="J162" s="4"/>
      <c r="K162" s="4"/>
      <c r="L162" s="4"/>
      <c r="M162" s="4"/>
      <c r="N162" s="4">
        <f>D162-D161</f>
        <v>184.80999999999949</v>
      </c>
      <c r="O162" s="4">
        <f>B162-B149</f>
        <v>372</v>
      </c>
      <c r="P162" s="4">
        <f>D162-D150</f>
        <v>2063.5999999999985</v>
      </c>
    </row>
    <row r="163" spans="2:20" ht="12" customHeight="1" x14ac:dyDescent="0.25">
      <c r="B163" s="56">
        <v>45661</v>
      </c>
      <c r="D163" s="4">
        <v>11758.47</v>
      </c>
      <c r="E163" s="13">
        <f t="shared" ref="E163" si="49">DAYS360(B162,B163)</f>
        <v>54</v>
      </c>
      <c r="F163" s="4">
        <f t="shared" ref="F163" si="50">(D163-D162)/E163</f>
        <v>8.8440740740740722</v>
      </c>
      <c r="G163" s="4"/>
      <c r="H163" s="4"/>
      <c r="I163" s="4"/>
      <c r="J163" s="4"/>
      <c r="K163" s="4"/>
      <c r="L163" s="4"/>
      <c r="M163" s="4"/>
      <c r="N163" s="4">
        <f>D163-D162</f>
        <v>477.57999999999993</v>
      </c>
      <c r="O163" s="4">
        <f>B163-B151</f>
        <v>372</v>
      </c>
      <c r="P163" s="4">
        <f>D163-D151</f>
        <v>2144.3999999999996</v>
      </c>
      <c r="R163" s="77"/>
      <c r="S163" s="78"/>
      <c r="T163" s="77"/>
    </row>
    <row r="164" spans="2:20" ht="12" customHeight="1" x14ac:dyDescent="0.25">
      <c r="B164" s="5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2:20" ht="12" customHeight="1" x14ac:dyDescent="0.25">
      <c r="B165" s="5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2:20" ht="12" customHeight="1" x14ac:dyDescent="0.25">
      <c r="B166" s="5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2:20" ht="12" customHeight="1" x14ac:dyDescent="0.25">
      <c r="B167" s="5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2:20" ht="12" customHeight="1" x14ac:dyDescent="0.25">
      <c r="B168" s="56"/>
      <c r="D168" s="4"/>
      <c r="E168" s="4"/>
      <c r="F168" s="4"/>
      <c r="G168" s="79"/>
      <c r="H168" s="4"/>
      <c r="I168" s="4"/>
      <c r="J168" s="4"/>
      <c r="K168" s="4"/>
      <c r="L168" s="4"/>
      <c r="M168" s="4"/>
      <c r="N168" s="4"/>
      <c r="O168" s="4"/>
      <c r="P168" s="4"/>
    </row>
    <row r="169" spans="2:20" ht="12" customHeight="1" x14ac:dyDescent="0.25">
      <c r="B169" s="5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2:20" ht="12" customHeight="1" x14ac:dyDescent="0.25">
      <c r="B170" s="5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2:20" ht="12" customHeight="1" x14ac:dyDescent="0.25">
      <c r="B171" s="5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2:20" ht="12" customHeight="1" x14ac:dyDescent="0.25">
      <c r="B172" s="5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2:20" ht="12" customHeight="1" x14ac:dyDescent="0.25">
      <c r="B173" s="5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2:20" ht="12" customHeight="1" x14ac:dyDescent="0.25">
      <c r="B174" s="5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2:20" ht="12" customHeight="1" x14ac:dyDescent="0.25">
      <c r="B175" s="5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2:20" ht="12" customHeight="1" x14ac:dyDescent="0.25">
      <c r="B176" s="5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2:16" ht="12" customHeight="1" x14ac:dyDescent="0.25">
      <c r="B177" s="5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2:16" ht="12" customHeight="1" x14ac:dyDescent="0.25">
      <c r="B178" s="5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2:16" ht="12" customHeight="1" x14ac:dyDescent="0.25">
      <c r="B179" s="5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2:16" ht="12" customHeight="1" x14ac:dyDescent="0.25">
      <c r="B180" s="5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2:16" ht="12" customHeight="1" x14ac:dyDescent="0.25">
      <c r="B181" s="5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2:16" ht="12" customHeight="1" x14ac:dyDescent="0.25">
      <c r="B182" s="5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2:16" ht="12" customHeight="1" x14ac:dyDescent="0.25">
      <c r="B183" s="5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2:16" ht="12" customHeight="1" x14ac:dyDescent="0.25">
      <c r="B184" s="5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2:16" ht="12" customHeight="1" x14ac:dyDescent="0.25">
      <c r="B185" s="5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2:16" ht="12" customHeight="1" x14ac:dyDescent="0.25">
      <c r="B186" s="5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2:16" ht="12" customHeight="1" x14ac:dyDescent="0.25">
      <c r="B187" s="5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2:16" ht="12" customHeight="1" x14ac:dyDescent="0.25">
      <c r="B188" s="5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2:16" ht="12" customHeight="1" x14ac:dyDescent="0.25">
      <c r="B189" s="5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2:16" ht="12" customHeight="1" x14ac:dyDescent="0.25">
      <c r="B190" s="5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2:16" ht="12" customHeight="1" x14ac:dyDescent="0.25">
      <c r="B191" s="5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2:16" ht="12" customHeight="1" x14ac:dyDescent="0.25">
      <c r="B192" s="5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 r:id="rId1"/>
  <headerFooter>
    <oddHeader>&amp;R&amp;D</oddHeader>
    <oddFooter>&amp;LEnergiaekspertti Janne Tiainen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zoomScale="90" zoomScaleNormal="90" workbookViewId="0">
      <selection activeCell="P8" sqref="P8:P15"/>
    </sheetView>
  </sheetViews>
  <sheetFormatPr defaultColWidth="14.44140625" defaultRowHeight="13.2" x14ac:dyDescent="0.25"/>
  <cols>
    <col min="1" max="1" width="8.6640625" style="1" customWidth="1"/>
    <col min="2" max="2" width="23.44140625" style="1" customWidth="1"/>
    <col min="3" max="3" width="6.5546875" style="1" customWidth="1"/>
    <col min="4" max="4" width="10.33203125" style="1" customWidth="1"/>
    <col min="5" max="15" width="9.33203125" style="1" customWidth="1"/>
    <col min="16" max="18" width="10.5546875" style="1" customWidth="1"/>
    <col min="19" max="19" width="8.6640625" style="1" customWidth="1"/>
    <col min="20" max="20" width="11.5546875" style="1" customWidth="1"/>
    <col min="21" max="25" width="8.6640625" style="1" customWidth="1"/>
    <col min="26" max="26" width="14.6640625" style="1" customWidth="1"/>
    <col min="27" max="28" width="8.6640625" style="1" customWidth="1"/>
    <col min="29" max="16384" width="14.44140625" style="1"/>
  </cols>
  <sheetData>
    <row r="1" spans="1:28" ht="18" customHeight="1" x14ac:dyDescent="0.3">
      <c r="A1" s="2" t="s">
        <v>0</v>
      </c>
      <c r="D1" s="3">
        <v>2023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28" ht="11.25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8"/>
      <c r="S2" s="8"/>
      <c r="T2" s="8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11</v>
      </c>
      <c r="L3" s="11" t="s">
        <v>5</v>
      </c>
      <c r="M3" s="4"/>
      <c r="N3" s="4"/>
      <c r="O3" s="4"/>
      <c r="P3" s="4"/>
      <c r="Q3" s="8"/>
      <c r="R3" s="8"/>
      <c r="S3" s="8"/>
      <c r="T3" s="8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(SUM(I9:K9)-SUM(I10:K10))/92</f>
        <v>9.1568478260869579</v>
      </c>
      <c r="L4" s="11" t="s">
        <v>5</v>
      </c>
      <c r="M4" s="11"/>
      <c r="N4" s="11"/>
      <c r="O4" s="11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customHeight="1" x14ac:dyDescent="0.25">
      <c r="A7" s="19"/>
      <c r="B7" s="20"/>
      <c r="C7" s="21"/>
      <c r="D7" s="22">
        <v>31</v>
      </c>
      <c r="E7" s="22">
        <v>28</v>
      </c>
      <c r="F7" s="22">
        <v>31</v>
      </c>
      <c r="G7" s="22">
        <v>30</v>
      </c>
      <c r="H7" s="22">
        <v>31</v>
      </c>
      <c r="I7" s="22">
        <v>30</v>
      </c>
      <c r="J7" s="22">
        <v>31</v>
      </c>
      <c r="K7" s="22">
        <v>31</v>
      </c>
      <c r="L7" s="22">
        <v>30</v>
      </c>
      <c r="M7" s="22">
        <v>31</v>
      </c>
      <c r="N7" s="22">
        <v>30</v>
      </c>
      <c r="O7" s="22">
        <v>31</v>
      </c>
      <c r="P7" s="23">
        <f>SUM(D7:O7)</f>
        <v>365</v>
      </c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2.75" customHeight="1" x14ac:dyDescent="0.25">
      <c r="A8" s="25">
        <v>2023</v>
      </c>
      <c r="B8" s="26" t="s">
        <v>23</v>
      </c>
      <c r="C8" s="27" t="s">
        <v>24</v>
      </c>
      <c r="D8" s="28">
        <v>-3.4</v>
      </c>
      <c r="E8" s="28">
        <v>-4.4000000000000004</v>
      </c>
      <c r="F8" s="28">
        <v>-3</v>
      </c>
      <c r="G8" s="28">
        <v>4.8</v>
      </c>
      <c r="H8" s="28">
        <v>10.8</v>
      </c>
      <c r="I8" s="28">
        <v>16.100000000000001</v>
      </c>
      <c r="J8" s="28">
        <v>16.600000000000001</v>
      </c>
      <c r="K8" s="28">
        <v>17.399999999999999</v>
      </c>
      <c r="L8" s="28">
        <v>14.1</v>
      </c>
      <c r="M8" s="28">
        <v>3.1</v>
      </c>
      <c r="N8" s="28">
        <v>-1.9</v>
      </c>
      <c r="O8" s="28">
        <v>-7</v>
      </c>
      <c r="P8" s="28">
        <f>AVERAGE(D8:O8)</f>
        <v>5.2666666666666657</v>
      </c>
      <c r="T8" s="29"/>
      <c r="U8" s="8"/>
      <c r="Z8" s="83"/>
      <c r="AA8" s="83"/>
    </row>
    <row r="9" spans="1:28" ht="12" customHeight="1" x14ac:dyDescent="0.25">
      <c r="A9" s="25">
        <v>2023</v>
      </c>
      <c r="B9" s="26" t="s">
        <v>25</v>
      </c>
      <c r="C9" s="30" t="s">
        <v>26</v>
      </c>
      <c r="D9" s="31">
        <v>1244</v>
      </c>
      <c r="E9" s="31">
        <v>1133</v>
      </c>
      <c r="F9" s="32">
        <v>1091</v>
      </c>
      <c r="G9" s="32">
        <v>654.28</v>
      </c>
      <c r="H9" s="32">
        <v>445.77</v>
      </c>
      <c r="I9" s="32">
        <v>324.36</v>
      </c>
      <c r="J9" s="32">
        <v>310.77</v>
      </c>
      <c r="K9" s="32">
        <v>296.3</v>
      </c>
      <c r="L9" s="32">
        <v>347.28</v>
      </c>
      <c r="M9" s="32">
        <v>675.47</v>
      </c>
      <c r="N9" s="32">
        <v>1044.23</v>
      </c>
      <c r="O9" s="32">
        <v>1130.68</v>
      </c>
      <c r="P9" s="33">
        <f>SUM(D9:O9)</f>
        <v>8697.14</v>
      </c>
      <c r="Q9" s="34"/>
      <c r="R9" s="34">
        <f>SUM(N9:O9)+SUM('2022'!D9:M9)</f>
        <v>9126.9499999999989</v>
      </c>
      <c r="S9" s="35"/>
      <c r="T9" s="36" t="s">
        <v>64</v>
      </c>
      <c r="U9" s="34"/>
      <c r="Z9" s="37"/>
      <c r="AB9" s="37"/>
    </row>
    <row r="10" spans="1:28" ht="12" customHeight="1" x14ac:dyDescent="0.25">
      <c r="A10" s="25">
        <v>2023</v>
      </c>
      <c r="B10" s="26" t="s">
        <v>28</v>
      </c>
      <c r="C10" s="30" t="s">
        <v>26</v>
      </c>
      <c r="D10" s="43">
        <v>250</v>
      </c>
      <c r="E10" s="43">
        <v>220</v>
      </c>
      <c r="F10" s="43">
        <v>280</v>
      </c>
      <c r="G10" s="43">
        <v>100</v>
      </c>
      <c r="H10" s="43">
        <v>102</v>
      </c>
      <c r="I10" s="39">
        <v>29</v>
      </c>
      <c r="J10" s="39">
        <v>30</v>
      </c>
      <c r="K10" s="39">
        <v>30</v>
      </c>
      <c r="L10" s="43">
        <v>50</v>
      </c>
      <c r="M10" s="43">
        <v>200</v>
      </c>
      <c r="N10" s="43">
        <v>150</v>
      </c>
      <c r="O10" s="59">
        <v>400</v>
      </c>
      <c r="P10" s="43">
        <f>SUM(D10:O10)</f>
        <v>1841</v>
      </c>
      <c r="Q10" s="34"/>
      <c r="R10" s="34">
        <f>SUM(N10:O10)+SUM('2022'!D10:M10)</f>
        <v>1875</v>
      </c>
      <c r="T10" s="36">
        <f>SUM(D10:N10)+'2022'!T10</f>
        <v>29591.230811381905</v>
      </c>
      <c r="U10" s="34"/>
      <c r="V10" s="35"/>
    </row>
    <row r="11" spans="1:28" ht="12" customHeight="1" x14ac:dyDescent="0.25">
      <c r="A11" s="25">
        <v>2023</v>
      </c>
      <c r="B11" s="40" t="s">
        <v>29</v>
      </c>
      <c r="C11" s="41" t="s">
        <v>30</v>
      </c>
      <c r="D11" s="32">
        <v>632</v>
      </c>
      <c r="E11" s="32">
        <v>600</v>
      </c>
      <c r="F11" s="32">
        <v>619</v>
      </c>
      <c r="G11" s="32">
        <v>346</v>
      </c>
      <c r="H11" s="32">
        <v>122</v>
      </c>
      <c r="I11" s="32">
        <v>29</v>
      </c>
      <c r="J11" s="32">
        <v>0</v>
      </c>
      <c r="K11" s="32">
        <v>0</v>
      </c>
      <c r="L11" s="32">
        <v>32</v>
      </c>
      <c r="M11" s="32">
        <v>431</v>
      </c>
      <c r="N11" s="32">
        <v>566</v>
      </c>
      <c r="O11" s="32">
        <v>743</v>
      </c>
      <c r="P11" s="32">
        <f>SUM(D11:O11)</f>
        <v>4120</v>
      </c>
      <c r="Q11" s="42"/>
      <c r="R11" s="34">
        <f>SUM(N11:O11)+SUM('2022'!D11:M11)</f>
        <v>4324</v>
      </c>
      <c r="S11" s="35"/>
      <c r="T11" s="34"/>
      <c r="U11" s="34"/>
      <c r="V11" s="35"/>
    </row>
    <row r="12" spans="1:28" ht="12" customHeight="1" x14ac:dyDescent="0.25">
      <c r="A12" s="25">
        <v>2023</v>
      </c>
      <c r="B12" s="40" t="s">
        <v>31</v>
      </c>
      <c r="C12" s="41" t="s">
        <v>30</v>
      </c>
      <c r="D12" s="32">
        <v>759</v>
      </c>
      <c r="E12" s="32">
        <v>699</v>
      </c>
      <c r="F12" s="32">
        <v>621</v>
      </c>
      <c r="G12" s="32">
        <v>403</v>
      </c>
      <c r="H12" s="32">
        <v>165</v>
      </c>
      <c r="I12" s="32">
        <v>22</v>
      </c>
      <c r="J12" s="32">
        <v>5</v>
      </c>
      <c r="K12" s="32">
        <v>28</v>
      </c>
      <c r="L12" s="32">
        <v>184</v>
      </c>
      <c r="M12" s="32">
        <v>386</v>
      </c>
      <c r="N12" s="32">
        <v>546</v>
      </c>
      <c r="O12" s="32">
        <v>692</v>
      </c>
      <c r="P12" s="32">
        <v>4510</v>
      </c>
      <c r="R12" s="42"/>
      <c r="T12" s="36"/>
      <c r="U12" s="34"/>
      <c r="V12" s="34"/>
    </row>
    <row r="13" spans="1:28" ht="12" customHeight="1" x14ac:dyDescent="0.25">
      <c r="A13" s="25">
        <v>2023</v>
      </c>
      <c r="B13" s="26" t="s">
        <v>32</v>
      </c>
      <c r="C13" s="30" t="s">
        <v>26</v>
      </c>
      <c r="D13" s="32">
        <f t="shared" ref="D13:O13" si="0">$K$3*D7</f>
        <v>341</v>
      </c>
      <c r="E13" s="32">
        <f t="shared" si="0"/>
        <v>308</v>
      </c>
      <c r="F13" s="32">
        <f t="shared" si="0"/>
        <v>341</v>
      </c>
      <c r="G13" s="32">
        <f t="shared" si="0"/>
        <v>330</v>
      </c>
      <c r="H13" s="32">
        <f t="shared" si="0"/>
        <v>341</v>
      </c>
      <c r="I13" s="32">
        <f t="shared" si="0"/>
        <v>330</v>
      </c>
      <c r="J13" s="32">
        <f t="shared" si="0"/>
        <v>341</v>
      </c>
      <c r="K13" s="32">
        <f t="shared" si="0"/>
        <v>341</v>
      </c>
      <c r="L13" s="32">
        <f t="shared" si="0"/>
        <v>330</v>
      </c>
      <c r="M13" s="32">
        <f t="shared" si="0"/>
        <v>341</v>
      </c>
      <c r="N13" s="32">
        <f t="shared" si="0"/>
        <v>330</v>
      </c>
      <c r="O13" s="32">
        <f t="shared" si="0"/>
        <v>341</v>
      </c>
      <c r="P13" s="32">
        <f>SUM(D13:O13)</f>
        <v>4015</v>
      </c>
      <c r="T13" s="36">
        <f>P12-P11</f>
        <v>390</v>
      </c>
      <c r="U13" s="34"/>
    </row>
    <row r="14" spans="1:28" ht="12" customHeight="1" x14ac:dyDescent="0.25">
      <c r="A14" s="25">
        <v>2023</v>
      </c>
      <c r="B14" s="26" t="s">
        <v>33</v>
      </c>
      <c r="C14" s="30" t="s">
        <v>26</v>
      </c>
      <c r="D14" s="32">
        <f>D9-D13</f>
        <v>903</v>
      </c>
      <c r="E14" s="32">
        <f>E9-E13</f>
        <v>825</v>
      </c>
      <c r="F14" s="32">
        <f>F9-F13</f>
        <v>750</v>
      </c>
      <c r="G14" s="32">
        <f>G9-G13</f>
        <v>324.27999999999997</v>
      </c>
      <c r="H14" s="32">
        <f>H9-H13</f>
        <v>104.76999999999998</v>
      </c>
      <c r="I14" s="43">
        <v>0</v>
      </c>
      <c r="J14" s="43">
        <f>J10</f>
        <v>30</v>
      </c>
      <c r="K14" s="43">
        <f>K10</f>
        <v>30</v>
      </c>
      <c r="L14" s="32">
        <f>L9-L13</f>
        <v>17.279999999999973</v>
      </c>
      <c r="M14" s="32">
        <f>M9-M13</f>
        <v>334.47</v>
      </c>
      <c r="N14" s="32">
        <f>N9-N13</f>
        <v>714.23</v>
      </c>
      <c r="O14" s="32">
        <f>O9-O13</f>
        <v>789.68000000000006</v>
      </c>
      <c r="P14" s="32">
        <f>SUM(D14:O14)</f>
        <v>4822.71</v>
      </c>
      <c r="R14" s="35"/>
      <c r="T14" s="36"/>
      <c r="U14" s="34"/>
    </row>
    <row r="15" spans="1:28" ht="12" customHeight="1" x14ac:dyDescent="0.25">
      <c r="A15" s="25">
        <v>2023</v>
      </c>
      <c r="B15" s="26" t="s">
        <v>34</v>
      </c>
      <c r="C15" s="30" t="s">
        <v>26</v>
      </c>
      <c r="D15" s="32">
        <f>IF(D14&lt;0,0,((D12/D11))*D14)</f>
        <v>1084.4572784810127</v>
      </c>
      <c r="E15" s="32">
        <f>IF(E14&lt;0,0,((E12/E11))*E14)</f>
        <v>961.125</v>
      </c>
      <c r="F15" s="32">
        <f>IF(F14&lt;0,0,((F12/F11))*F14)</f>
        <v>752.42326332794823</v>
      </c>
      <c r="G15" s="32">
        <f>IF(G14&lt;0,0,((G12/G11))*G14)</f>
        <v>377.70184971098263</v>
      </c>
      <c r="H15" s="32">
        <f>IF(H14&lt;0,0,((H12/H11))*H14)</f>
        <v>141.69713114754097</v>
      </c>
      <c r="I15" s="32">
        <f>I14</f>
        <v>0</v>
      </c>
      <c r="J15" s="32">
        <f>J14</f>
        <v>30</v>
      </c>
      <c r="K15" s="32">
        <f>K14</f>
        <v>30</v>
      </c>
      <c r="L15" s="32">
        <f>IF(L14&lt;0,0,((L12/L11))*L14)</f>
        <v>99.359999999999843</v>
      </c>
      <c r="M15" s="32">
        <f>IF(M14&lt;0,0,((M12/M11))*M14)</f>
        <v>299.54853828306267</v>
      </c>
      <c r="N15" s="32">
        <f>IF(N14&lt;0,0,((N12/N11))*N14)</f>
        <v>688.99219081272088</v>
      </c>
      <c r="O15" s="32">
        <f>IF(O14&lt;0,0,((O12/O11))*O14)</f>
        <v>735.47585464333781</v>
      </c>
      <c r="P15" s="33">
        <f>SUM(D15:O15)</f>
        <v>5200.7811064066054</v>
      </c>
      <c r="Q15" s="44"/>
      <c r="R15" s="34">
        <f>SUM(N15:O15)+SUM('2022'!D15:M15)</f>
        <v>5449.8605439287549</v>
      </c>
      <c r="T15" s="46">
        <f>T13/P12</f>
        <v>8.6474501108647447E-2</v>
      </c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1">D9/D7</f>
        <v>40.12903225806452</v>
      </c>
      <c r="E18" s="4">
        <f t="shared" si="1"/>
        <v>40.464285714285715</v>
      </c>
      <c r="F18" s="4">
        <f t="shared" si="1"/>
        <v>35.193548387096776</v>
      </c>
      <c r="G18" s="4">
        <f t="shared" si="1"/>
        <v>21.809333333333331</v>
      </c>
      <c r="H18" s="4">
        <f t="shared" si="1"/>
        <v>14.379677419354838</v>
      </c>
      <c r="I18" s="4">
        <f t="shared" si="1"/>
        <v>10.812000000000001</v>
      </c>
      <c r="J18" s="4">
        <f t="shared" si="1"/>
        <v>10.024838709677418</v>
      </c>
      <c r="K18" s="4">
        <f t="shared" si="1"/>
        <v>9.5580645161290327</v>
      </c>
      <c r="L18" s="4">
        <f t="shared" si="1"/>
        <v>11.575999999999999</v>
      </c>
      <c r="M18" s="4">
        <f t="shared" si="1"/>
        <v>21.789354838709677</v>
      </c>
      <c r="N18" s="4">
        <f t="shared" si="1"/>
        <v>34.80766666666667</v>
      </c>
      <c r="O18" s="4">
        <f t="shared" si="1"/>
        <v>36.473548387096777</v>
      </c>
      <c r="P18" s="4"/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1244</v>
      </c>
      <c r="E19" s="4">
        <f>SUM($D$9:E9)</f>
        <v>2377</v>
      </c>
      <c r="F19" s="4">
        <f>SUM($D$9:F9)</f>
        <v>3468</v>
      </c>
      <c r="G19" s="4">
        <f>SUM($D$9:G9)</f>
        <v>4122.28</v>
      </c>
      <c r="H19" s="4">
        <f>SUM($D$9:H9)</f>
        <v>4568.0499999999993</v>
      </c>
      <c r="I19" s="4">
        <f>SUM($D$9:I9)</f>
        <v>4892.4099999999989</v>
      </c>
      <c r="J19" s="4">
        <f>SUM($D$9:J9)</f>
        <v>5203.1799999999985</v>
      </c>
      <c r="K19" s="4">
        <f>SUM($D$9:K9)</f>
        <v>5499.4799999999987</v>
      </c>
      <c r="L19" s="4">
        <f>SUM($D$9:L9)</f>
        <v>5846.7599999999984</v>
      </c>
      <c r="M19" s="4">
        <f>SUM($D$9:M9)</f>
        <v>6522.2299999999987</v>
      </c>
      <c r="N19" s="4">
        <f>SUM($D$9:N9)</f>
        <v>7566.4599999999991</v>
      </c>
      <c r="O19" s="4">
        <f>SUM($D$9:O9)</f>
        <v>8697.14</v>
      </c>
      <c r="P19" s="4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250</v>
      </c>
      <c r="E20" s="4">
        <f>SUM($D$10:E10)</f>
        <v>470</v>
      </c>
      <c r="F20" s="4">
        <f>SUM($D$10:F10)</f>
        <v>750</v>
      </c>
      <c r="G20" s="4">
        <f>SUM($D$10:G10)</f>
        <v>850</v>
      </c>
      <c r="H20" s="4">
        <f>SUM($D$10:H10)</f>
        <v>952</v>
      </c>
      <c r="I20" s="4">
        <f>SUM($D$10:I10)</f>
        <v>981</v>
      </c>
      <c r="J20" s="4">
        <f>SUM($D$10:J10)</f>
        <v>1011</v>
      </c>
      <c r="K20" s="4">
        <f>SUM($D$10:K10)</f>
        <v>1041</v>
      </c>
      <c r="L20" s="4">
        <f>SUM($D$10:L10)</f>
        <v>1091</v>
      </c>
      <c r="M20" s="4">
        <f>SUM($D$10:M10)</f>
        <v>1291</v>
      </c>
      <c r="N20" s="4">
        <f>SUM($D$10:N10)</f>
        <v>1441</v>
      </c>
      <c r="O20" s="4">
        <f>SUM($D$10:O10)</f>
        <v>1841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903</v>
      </c>
      <c r="E21" s="4">
        <f>SUM($D$14:E14)</f>
        <v>1728</v>
      </c>
      <c r="F21" s="4">
        <f>SUM($D$14:F14)</f>
        <v>2478</v>
      </c>
      <c r="G21" s="4">
        <f>SUM($D$14:G14)</f>
        <v>2802.2799999999997</v>
      </c>
      <c r="H21" s="4">
        <f>SUM($D$14:H14)</f>
        <v>2907.0499999999997</v>
      </c>
      <c r="I21" s="4">
        <f>SUM($D$14:I14)</f>
        <v>2907.0499999999997</v>
      </c>
      <c r="J21" s="4">
        <f>SUM($D$14:J14)</f>
        <v>2937.0499999999997</v>
      </c>
      <c r="K21" s="4">
        <f>SUM($D$14:K14)</f>
        <v>2967.0499999999997</v>
      </c>
      <c r="L21" s="4">
        <f>SUM($D$14:L14)</f>
        <v>2984.33</v>
      </c>
      <c r="M21" s="4">
        <f>SUM($D$14:M14)</f>
        <v>3318.8</v>
      </c>
      <c r="N21" s="4">
        <f>SUM($D$14:N14)</f>
        <v>4033.03</v>
      </c>
      <c r="O21" s="4">
        <f>SUM($D$14:O14)</f>
        <v>4822.71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2">D14/D9</f>
        <v>0.72588424437299037</v>
      </c>
      <c r="E24" s="51">
        <f t="shared" si="2"/>
        <v>0.72815533980582525</v>
      </c>
      <c r="F24" s="51">
        <f t="shared" si="2"/>
        <v>0.68744271310724103</v>
      </c>
      <c r="G24" s="51">
        <f t="shared" si="2"/>
        <v>0.49562878278412908</v>
      </c>
      <c r="H24" s="51">
        <f t="shared" si="2"/>
        <v>0.23503151849608539</v>
      </c>
      <c r="I24" s="51">
        <f t="shared" si="2"/>
        <v>0</v>
      </c>
      <c r="J24" s="51">
        <f t="shared" si="2"/>
        <v>9.6534414518775952E-2</v>
      </c>
      <c r="K24" s="51">
        <f t="shared" si="2"/>
        <v>0.10124873439082011</v>
      </c>
      <c r="L24" s="51">
        <f t="shared" si="2"/>
        <v>4.9758120248790526E-2</v>
      </c>
      <c r="M24" s="51">
        <f t="shared" si="2"/>
        <v>0.49516632863043514</v>
      </c>
      <c r="N24" s="51">
        <f t="shared" si="2"/>
        <v>0.68397766775518809</v>
      </c>
      <c r="O24" s="51">
        <f t="shared" si="2"/>
        <v>0.69841157533519649</v>
      </c>
      <c r="P24" s="51">
        <f t="shared" si="2"/>
        <v>0.55451677218027995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3">D14/D11</f>
        <v>1.4287974683544304</v>
      </c>
      <c r="E25" s="4">
        <f t="shared" si="3"/>
        <v>1.375</v>
      </c>
      <c r="F25" s="4">
        <f t="shared" si="3"/>
        <v>1.2116316639741518</v>
      </c>
      <c r="G25" s="4">
        <f t="shared" si="3"/>
        <v>0.93722543352601151</v>
      </c>
      <c r="H25" s="4">
        <f t="shared" si="3"/>
        <v>0.85877049180327858</v>
      </c>
      <c r="I25" s="4">
        <f t="shared" si="3"/>
        <v>0</v>
      </c>
      <c r="J25" s="4" t="e">
        <f t="shared" si="3"/>
        <v>#DIV/0!</v>
      </c>
      <c r="K25" s="4" t="e">
        <f t="shared" si="3"/>
        <v>#DIV/0!</v>
      </c>
      <c r="L25" s="4">
        <f t="shared" si="3"/>
        <v>0.53999999999999915</v>
      </c>
      <c r="M25" s="4">
        <f t="shared" si="3"/>
        <v>0.77603248259860791</v>
      </c>
      <c r="N25" s="4">
        <f t="shared" si="3"/>
        <v>1.2618904593639577</v>
      </c>
      <c r="O25" s="4">
        <f t="shared" si="3"/>
        <v>1.0628263795423958</v>
      </c>
      <c r="P25" s="4">
        <f t="shared" si="3"/>
        <v>1.1705606796116506</v>
      </c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 t="shared" ref="D26:P26" si="4">D14/D7</f>
        <v>29.129032258064516</v>
      </c>
      <c r="E26" s="4">
        <f t="shared" si="4"/>
        <v>29.464285714285715</v>
      </c>
      <c r="F26" s="4">
        <f t="shared" si="4"/>
        <v>24.193548387096776</v>
      </c>
      <c r="G26" s="4">
        <f t="shared" si="4"/>
        <v>10.809333333333333</v>
      </c>
      <c r="H26" s="4">
        <f t="shared" si="4"/>
        <v>3.379677419354838</v>
      </c>
      <c r="I26" s="4">
        <f t="shared" si="4"/>
        <v>0</v>
      </c>
      <c r="J26" s="4">
        <f t="shared" si="4"/>
        <v>0.967741935483871</v>
      </c>
      <c r="K26" s="4">
        <f t="shared" si="4"/>
        <v>0.967741935483871</v>
      </c>
      <c r="L26" s="4">
        <f t="shared" si="4"/>
        <v>0.57599999999999907</v>
      </c>
      <c r="M26" s="4">
        <f t="shared" si="4"/>
        <v>10.789354838709679</v>
      </c>
      <c r="N26" s="4">
        <f t="shared" si="4"/>
        <v>23.807666666666666</v>
      </c>
      <c r="O26" s="4">
        <f t="shared" si="4"/>
        <v>25.473548387096777</v>
      </c>
      <c r="P26" s="4">
        <f t="shared" si="4"/>
        <v>13.212904109589042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 t="shared" ref="D27:P27" si="5">D15/D7</f>
        <v>34.982492854226216</v>
      </c>
      <c r="E27" s="4">
        <f t="shared" si="5"/>
        <v>34.325892857142854</v>
      </c>
      <c r="F27" s="4">
        <f t="shared" si="5"/>
        <v>24.271718171869299</v>
      </c>
      <c r="G27" s="4">
        <f t="shared" si="5"/>
        <v>12.590061657032754</v>
      </c>
      <c r="H27" s="4">
        <f t="shared" si="5"/>
        <v>4.5708751983077729</v>
      </c>
      <c r="I27" s="4">
        <f t="shared" si="5"/>
        <v>0</v>
      </c>
      <c r="J27" s="4">
        <f t="shared" si="5"/>
        <v>0.967741935483871</v>
      </c>
      <c r="K27" s="4">
        <f t="shared" si="5"/>
        <v>0.967741935483871</v>
      </c>
      <c r="L27" s="4">
        <f t="shared" si="5"/>
        <v>3.3119999999999949</v>
      </c>
      <c r="M27" s="4">
        <f t="shared" si="5"/>
        <v>9.6628560736471822</v>
      </c>
      <c r="N27" s="4">
        <f t="shared" si="5"/>
        <v>22.966406360424028</v>
      </c>
      <c r="O27" s="4">
        <f t="shared" si="5"/>
        <v>23.725027569139929</v>
      </c>
      <c r="P27" s="4">
        <f t="shared" si="5"/>
        <v>14.248715360018098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 t="shared" ref="D28:P28" si="6">D14/$F$4</f>
        <v>3.2575757575757578</v>
      </c>
      <c r="E28" s="4">
        <f t="shared" si="6"/>
        <v>2.9761904761904763</v>
      </c>
      <c r="F28" s="4">
        <f t="shared" si="6"/>
        <v>2.7056277056277058</v>
      </c>
      <c r="G28" s="4">
        <f t="shared" si="6"/>
        <v>1.1698412698412697</v>
      </c>
      <c r="H28" s="4">
        <f t="shared" si="6"/>
        <v>0.37795815295815288</v>
      </c>
      <c r="I28" s="4">
        <f t="shared" si="6"/>
        <v>0</v>
      </c>
      <c r="J28" s="4">
        <f t="shared" si="6"/>
        <v>0.10822510822510822</v>
      </c>
      <c r="K28" s="4">
        <f t="shared" si="6"/>
        <v>0.10822510822510822</v>
      </c>
      <c r="L28" s="4">
        <f t="shared" si="6"/>
        <v>6.233766233766224E-2</v>
      </c>
      <c r="M28" s="4">
        <f t="shared" si="6"/>
        <v>1.2066017316017317</v>
      </c>
      <c r="N28" s="4">
        <f t="shared" si="6"/>
        <v>2.5765873015873018</v>
      </c>
      <c r="O28" s="4">
        <f t="shared" si="6"/>
        <v>2.8487734487734491</v>
      </c>
      <c r="P28" s="4">
        <f t="shared" si="6"/>
        <v>17.397943722943722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 t="shared" ref="D29:P29" si="7">D14/$F$3</f>
        <v>8.209090909090909</v>
      </c>
      <c r="E29" s="4">
        <f t="shared" si="7"/>
        <v>7.5</v>
      </c>
      <c r="F29" s="4">
        <f t="shared" si="7"/>
        <v>6.8181818181818183</v>
      </c>
      <c r="G29" s="4">
        <f t="shared" si="7"/>
        <v>2.948</v>
      </c>
      <c r="H29" s="4">
        <f t="shared" si="7"/>
        <v>0.95245454545454533</v>
      </c>
      <c r="I29" s="4">
        <f t="shared" si="7"/>
        <v>0</v>
      </c>
      <c r="J29" s="4">
        <f t="shared" si="7"/>
        <v>0.27272727272727271</v>
      </c>
      <c r="K29" s="4">
        <f t="shared" si="7"/>
        <v>0.27272727272727271</v>
      </c>
      <c r="L29" s="4">
        <f t="shared" si="7"/>
        <v>0.15709090909090884</v>
      </c>
      <c r="M29" s="4">
        <f t="shared" si="7"/>
        <v>3.0406363636363638</v>
      </c>
      <c r="N29" s="4">
        <f t="shared" si="7"/>
        <v>6.4930000000000003</v>
      </c>
      <c r="O29" s="4">
        <f t="shared" si="7"/>
        <v>7.1789090909090918</v>
      </c>
      <c r="P29" s="4">
        <f t="shared" si="7"/>
        <v>43.842818181818181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8">D15/$F$4</f>
        <v>3.9121835443037978</v>
      </c>
      <c r="E30" s="4">
        <f t="shared" si="8"/>
        <v>3.4672619047619051</v>
      </c>
      <c r="F30" s="4">
        <f t="shared" si="8"/>
        <v>2.7143696368252104</v>
      </c>
      <c r="G30" s="4">
        <f t="shared" si="8"/>
        <v>1.3625607853931552</v>
      </c>
      <c r="H30" s="4">
        <f t="shared" si="8"/>
        <v>0.51117291178766588</v>
      </c>
      <c r="I30" s="4">
        <f t="shared" si="8"/>
        <v>0</v>
      </c>
      <c r="J30" s="4">
        <f t="shared" si="8"/>
        <v>0.10822510822510822</v>
      </c>
      <c r="K30" s="4">
        <f t="shared" si="8"/>
        <v>0.10822510822510822</v>
      </c>
      <c r="L30" s="4">
        <f t="shared" si="8"/>
        <v>0.35844155844155789</v>
      </c>
      <c r="M30" s="4">
        <f t="shared" si="8"/>
        <v>1.0806224324785811</v>
      </c>
      <c r="N30" s="4">
        <f t="shared" si="8"/>
        <v>2.4855418138987044</v>
      </c>
      <c r="O30" s="4">
        <f t="shared" si="8"/>
        <v>2.6532317988576399</v>
      </c>
      <c r="P30" s="4">
        <f t="shared" si="8"/>
        <v>18.761836603198432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9">D15/$F$3</f>
        <v>9.8587025316455712</v>
      </c>
      <c r="E31" s="4">
        <f t="shared" si="9"/>
        <v>8.7375000000000007</v>
      </c>
      <c r="F31" s="4">
        <f t="shared" si="9"/>
        <v>6.8402114847995295</v>
      </c>
      <c r="G31" s="4">
        <f t="shared" si="9"/>
        <v>3.4336531791907512</v>
      </c>
      <c r="H31" s="4">
        <f t="shared" si="9"/>
        <v>1.288155737704918</v>
      </c>
      <c r="I31" s="4">
        <f t="shared" si="9"/>
        <v>0</v>
      </c>
      <c r="J31" s="4">
        <f t="shared" si="9"/>
        <v>0.27272727272727271</v>
      </c>
      <c r="K31" s="4">
        <f t="shared" si="9"/>
        <v>0.27272727272727271</v>
      </c>
      <c r="L31" s="4">
        <f t="shared" si="9"/>
        <v>0.90327272727272589</v>
      </c>
      <c r="M31" s="4">
        <f t="shared" si="9"/>
        <v>2.7231685298460242</v>
      </c>
      <c r="N31" s="4">
        <f t="shared" si="9"/>
        <v>6.2635653710247352</v>
      </c>
      <c r="O31" s="4">
        <f t="shared" si="9"/>
        <v>6.6861441331212532</v>
      </c>
      <c r="P31" s="4">
        <f t="shared" si="9"/>
        <v>47.279828240060048</v>
      </c>
    </row>
    <row r="32" spans="1:28" ht="12" customHeight="1" x14ac:dyDescent="0.3">
      <c r="B32" s="47" t="s">
        <v>44</v>
      </c>
      <c r="C32" s="47" t="s">
        <v>48</v>
      </c>
      <c r="D32" s="4">
        <f t="shared" ref="D32:P32" si="10">1000*D28/D11</f>
        <v>5.1543920214806294</v>
      </c>
      <c r="E32" s="4">
        <f t="shared" si="10"/>
        <v>4.9603174603174605</v>
      </c>
      <c r="F32" s="4">
        <f t="shared" si="10"/>
        <v>4.3709655987523517</v>
      </c>
      <c r="G32" s="4">
        <f t="shared" si="10"/>
        <v>3.3810441324892184</v>
      </c>
      <c r="H32" s="4">
        <f t="shared" si="10"/>
        <v>3.0980176471979743</v>
      </c>
      <c r="I32" s="4">
        <f t="shared" si="10"/>
        <v>0</v>
      </c>
      <c r="J32" s="4" t="e">
        <f t="shared" si="10"/>
        <v>#DIV/0!</v>
      </c>
      <c r="K32" s="4" t="e">
        <f t="shared" si="10"/>
        <v>#DIV/0!</v>
      </c>
      <c r="L32" s="4">
        <f t="shared" si="10"/>
        <v>1.9480519480519449</v>
      </c>
      <c r="M32" s="4">
        <f t="shared" si="10"/>
        <v>2.7995399805144587</v>
      </c>
      <c r="N32" s="4">
        <f t="shared" si="10"/>
        <v>4.5522743844298619</v>
      </c>
      <c r="O32" s="4">
        <f t="shared" si="10"/>
        <v>3.8341499983491913</v>
      </c>
      <c r="P32" s="4">
        <f t="shared" si="10"/>
        <v>4.2228018745009033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4500*1.3</f>
        <v>5850</v>
      </c>
      <c r="E36" s="11" t="s">
        <v>26</v>
      </c>
      <c r="F36" s="51">
        <f>D36/$D$38</f>
        <v>0.59300557526609221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4015</v>
      </c>
      <c r="E37" s="55" t="s">
        <v>26</v>
      </c>
      <c r="F37" s="51">
        <f>D37/$D$38</f>
        <v>0.40699442473390773</v>
      </c>
      <c r="G37" s="11" t="s">
        <v>54</v>
      </c>
      <c r="H37" s="4"/>
      <c r="I37" s="4"/>
      <c r="J37" s="4"/>
      <c r="K37" s="4">
        <f>K36-D36</f>
        <v>2716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9865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0.31706747606817653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0.21588109053334392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82" si="11">DAYS360(B50,B51)</f>
        <v>11</v>
      </c>
      <c r="F51" s="4">
        <f t="shared" ref="F51:F82" si="12">(D51-D50)/E51</f>
        <v>8.1400000000000023</v>
      </c>
      <c r="G51" s="13">
        <v>195</v>
      </c>
      <c r="H51" s="57">
        <f t="shared" ref="H51:H56" si="13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1"/>
        <v>46</v>
      </c>
      <c r="F52" s="4">
        <f t="shared" si="12"/>
        <v>10.755217391304347</v>
      </c>
      <c r="G52" s="13">
        <v>1116</v>
      </c>
      <c r="H52" s="57">
        <f t="shared" si="13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1"/>
        <v>30</v>
      </c>
      <c r="F53" s="4">
        <f t="shared" si="12"/>
        <v>9.9096666666666646</v>
      </c>
      <c r="G53" s="13">
        <v>459</v>
      </c>
      <c r="H53" s="57">
        <f t="shared" si="13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1"/>
        <v>13</v>
      </c>
      <c r="F54" s="4">
        <f t="shared" si="12"/>
        <v>12.971538461538453</v>
      </c>
      <c r="G54" s="4">
        <v>173</v>
      </c>
      <c r="H54" s="57">
        <f t="shared" si="13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1"/>
        <v>56</v>
      </c>
      <c r="F55" s="4">
        <f t="shared" si="12"/>
        <v>10.850714285714288</v>
      </c>
      <c r="G55" s="4">
        <v>537</v>
      </c>
      <c r="H55" s="57">
        <f t="shared" si="13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1"/>
        <v>23</v>
      </c>
      <c r="F56" s="4">
        <f t="shared" si="12"/>
        <v>3.4986956521739043</v>
      </c>
      <c r="G56" s="4">
        <v>78.2</v>
      </c>
      <c r="H56" s="57">
        <f t="shared" si="13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1"/>
        <v>11</v>
      </c>
      <c r="F57" s="4">
        <f t="shared" si="12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1"/>
        <v>26</v>
      </c>
      <c r="F58" s="4">
        <f t="shared" si="12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1"/>
        <v>30</v>
      </c>
      <c r="F59" s="4">
        <f t="shared" si="12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1"/>
        <v>7</v>
      </c>
      <c r="F60" s="4">
        <f t="shared" si="12"/>
        <v>2.2728571428571223</v>
      </c>
      <c r="G60" s="4">
        <f>3.8*7</f>
        <v>26.599999999999998</v>
      </c>
      <c r="H60" s="57">
        <f t="shared" ref="H60:H76" si="14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1"/>
        <v>40</v>
      </c>
      <c r="F61" s="4">
        <f t="shared" si="12"/>
        <v>4.4192499999999999</v>
      </c>
      <c r="G61" s="4">
        <f>7*40</f>
        <v>280</v>
      </c>
      <c r="H61" s="57">
        <f t="shared" si="14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1"/>
        <v>21</v>
      </c>
      <c r="F62" s="4">
        <f t="shared" si="12"/>
        <v>8.9847619047618963</v>
      </c>
      <c r="G62" s="4">
        <f>21*12.5</f>
        <v>262.5</v>
      </c>
      <c r="H62" s="57">
        <f t="shared" si="14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1"/>
        <v>83</v>
      </c>
      <c r="F63" s="4">
        <f t="shared" si="12"/>
        <v>8.7620481927710845</v>
      </c>
      <c r="G63" s="4">
        <v>1643</v>
      </c>
      <c r="H63" s="57">
        <f t="shared" si="14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1"/>
        <v>65</v>
      </c>
      <c r="F64" s="4">
        <f t="shared" si="12"/>
        <v>8.8218461538461543</v>
      </c>
      <c r="G64" s="4">
        <f>524+505+80</f>
        <v>1109</v>
      </c>
      <c r="H64" s="57">
        <f t="shared" si="14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1"/>
        <v>28</v>
      </c>
      <c r="F65" s="4">
        <f t="shared" si="12"/>
        <v>6.7735714285714392</v>
      </c>
      <c r="G65" s="4">
        <v>372</v>
      </c>
      <c r="H65" s="57">
        <f t="shared" si="14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1"/>
        <v>21</v>
      </c>
      <c r="F66" s="4">
        <f t="shared" si="12"/>
        <v>4.8628571428571377</v>
      </c>
      <c r="G66" s="4">
        <v>125</v>
      </c>
      <c r="H66" s="57">
        <f t="shared" si="14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1"/>
        <v>31</v>
      </c>
      <c r="F67" s="4">
        <f t="shared" si="12"/>
        <v>2.5290322580645044</v>
      </c>
      <c r="G67" s="4">
        <v>8</v>
      </c>
      <c r="H67" s="57">
        <f t="shared" si="14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1"/>
        <v>52</v>
      </c>
      <c r="F68" s="4">
        <f t="shared" si="12"/>
        <v>1.4932692307692412</v>
      </c>
      <c r="G68" s="4">
        <v>5</v>
      </c>
      <c r="H68" s="57">
        <f t="shared" si="14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1"/>
        <v>61</v>
      </c>
      <c r="F69" s="4">
        <f t="shared" si="12"/>
        <v>3.4193442622950809</v>
      </c>
      <c r="G69" s="4">
        <f>70+18*(17-4)</f>
        <v>304</v>
      </c>
      <c r="H69" s="57">
        <f t="shared" si="14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1"/>
        <v>50</v>
      </c>
      <c r="F70" s="4">
        <f t="shared" si="12"/>
        <v>8.3852000000000046</v>
      </c>
      <c r="G70" s="4">
        <f>13.5*50</f>
        <v>675</v>
      </c>
      <c r="H70" s="57">
        <f t="shared" si="14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1"/>
        <v>15</v>
      </c>
      <c r="F71" s="4">
        <f t="shared" si="12"/>
        <v>8.0666666666666664</v>
      </c>
      <c r="G71" s="4">
        <f>14*15</f>
        <v>210</v>
      </c>
      <c r="H71" s="57">
        <f t="shared" si="14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1"/>
        <v>80</v>
      </c>
      <c r="F72" s="4">
        <f t="shared" si="12"/>
        <v>3.9747499999999945</v>
      </c>
      <c r="G72" s="4">
        <f>552+969</f>
        <v>1521</v>
      </c>
      <c r="H72" s="57">
        <f t="shared" si="14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1"/>
        <v>46</v>
      </c>
      <c r="F73" s="4">
        <f t="shared" si="12"/>
        <v>6.8530434782608651</v>
      </c>
      <c r="G73" s="4">
        <f>561+376</f>
        <v>937</v>
      </c>
      <c r="H73" s="57">
        <f t="shared" si="14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1"/>
        <v>30</v>
      </c>
      <c r="F74" s="4">
        <f t="shared" si="12"/>
        <v>2.7056666666666689</v>
      </c>
      <c r="G74" s="4">
        <v>23</v>
      </c>
      <c r="H74" s="57">
        <f t="shared" si="14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1"/>
        <v>32</v>
      </c>
      <c r="F75" s="4">
        <f t="shared" si="12"/>
        <v>1.9846875000000068</v>
      </c>
      <c r="G75" s="4">
        <v>37</v>
      </c>
      <c r="H75" s="57">
        <f t="shared" si="14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1"/>
        <v>27</v>
      </c>
      <c r="F76" s="4">
        <f t="shared" si="12"/>
        <v>1.7807407407407381</v>
      </c>
      <c r="G76" s="4">
        <v>0</v>
      </c>
      <c r="H76" s="57" t="e">
        <f t="shared" si="14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1"/>
        <v>14</v>
      </c>
      <c r="F77" s="4">
        <f t="shared" si="12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1"/>
        <v>22</v>
      </c>
      <c r="F78" s="4">
        <f t="shared" si="12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1"/>
        <v>48</v>
      </c>
      <c r="F79" s="4">
        <f t="shared" si="12"/>
        <v>4.2625000000000073</v>
      </c>
      <c r="G79" s="4">
        <f>125+234</f>
        <v>359</v>
      </c>
      <c r="H79" s="57">
        <f t="shared" ref="H79:H85" si="15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1"/>
        <v>69</v>
      </c>
      <c r="F80" s="4">
        <f t="shared" si="12"/>
        <v>7.9052173913043484</v>
      </c>
      <c r="G80" s="4">
        <v>1172</v>
      </c>
      <c r="H80" s="57">
        <f t="shared" si="15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1"/>
        <v>14</v>
      </c>
      <c r="F81" s="4">
        <f t="shared" si="12"/>
        <v>1.9807142857142546</v>
      </c>
      <c r="G81" s="4">
        <v>363</v>
      </c>
      <c r="H81" s="57">
        <f t="shared" si="15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1"/>
        <v>15</v>
      </c>
      <c r="F82" s="4">
        <f t="shared" si="12"/>
        <v>5.7480000000000171</v>
      </c>
      <c r="G82" s="4">
        <v>310</v>
      </c>
      <c r="H82" s="57">
        <f t="shared" si="15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ref="E83:E114" si="16">DAYS360(B82,B83)</f>
        <v>27</v>
      </c>
      <c r="F83" s="4">
        <f t="shared" ref="F83:F104" si="17">(D83-D82)/E83</f>
        <v>6.6633333333333278</v>
      </c>
      <c r="G83" s="4">
        <v>600</v>
      </c>
      <c r="H83" s="57">
        <f t="shared" si="15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16"/>
        <v>50</v>
      </c>
      <c r="F84" s="4">
        <f t="shared" si="17"/>
        <v>8.6689999999999969</v>
      </c>
      <c r="G84" s="4">
        <v>840</v>
      </c>
      <c r="H84" s="57">
        <f t="shared" si="15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16"/>
        <v>21</v>
      </c>
      <c r="F85" s="4">
        <f t="shared" si="17"/>
        <v>6.3404761904762168</v>
      </c>
      <c r="G85" s="4">
        <v>230</v>
      </c>
      <c r="H85" s="57">
        <f t="shared" si="15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16"/>
        <v>34</v>
      </c>
      <c r="F86" s="4">
        <f t="shared" si="17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16"/>
        <v>11</v>
      </c>
      <c r="F87" s="4">
        <f t="shared" si="17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16"/>
        <v>9</v>
      </c>
      <c r="F88" s="4">
        <f t="shared" si="17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16"/>
        <v>34</v>
      </c>
      <c r="F89" s="4">
        <f t="shared" si="17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16"/>
        <v>40</v>
      </c>
      <c r="F90" s="4">
        <f t="shared" si="17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16"/>
        <v>22</v>
      </c>
      <c r="F91" s="4">
        <f t="shared" si="17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16"/>
        <v>27</v>
      </c>
      <c r="F92" s="4">
        <f t="shared" si="17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16"/>
        <v>57</v>
      </c>
      <c r="F93" s="4">
        <f t="shared" si="17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>
        <v>43155</v>
      </c>
      <c r="D94" s="4">
        <v>9122.02</v>
      </c>
      <c r="E94" s="13">
        <f t="shared" si="16"/>
        <v>54</v>
      </c>
      <c r="F94" s="4">
        <f t="shared" si="17"/>
        <v>4.896111111111134</v>
      </c>
      <c r="G94" s="4">
        <v>1320</v>
      </c>
      <c r="H94" s="57">
        <f>(D94-D93)/G94</f>
        <v>0.20029545454545547</v>
      </c>
      <c r="I94" s="4"/>
      <c r="J94" s="4"/>
      <c r="K94" s="4"/>
      <c r="L94" s="4"/>
      <c r="M94" s="4"/>
      <c r="N94" s="4">
        <f>D94-D93</f>
        <v>264.39000000000124</v>
      </c>
      <c r="O94" s="4"/>
      <c r="P94" s="4"/>
    </row>
    <row r="95" spans="2:16" ht="12" customHeight="1" x14ac:dyDescent="0.25">
      <c r="B95" s="56">
        <v>43184</v>
      </c>
      <c r="D95" s="4">
        <v>9294.3700000000008</v>
      </c>
      <c r="E95" s="13">
        <f t="shared" si="16"/>
        <v>31</v>
      </c>
      <c r="F95" s="4">
        <f t="shared" si="17"/>
        <v>5.5596774193548502</v>
      </c>
      <c r="G95" s="4">
        <v>723</v>
      </c>
      <c r="H95" s="57">
        <f>(D95-D94)/G95</f>
        <v>0.23838174273858972</v>
      </c>
      <c r="I95" s="4"/>
      <c r="J95" s="4"/>
      <c r="K95" s="4"/>
      <c r="L95" s="4"/>
      <c r="M95" s="4"/>
      <c r="N95" s="4">
        <f>D95-D94</f>
        <v>172.35000000000036</v>
      </c>
      <c r="O95" s="4"/>
      <c r="P95" s="4">
        <f>D94-D83</f>
        <v>2005.7700000000004</v>
      </c>
    </row>
    <row r="96" spans="2:16" ht="12" customHeight="1" x14ac:dyDescent="0.25">
      <c r="B96" s="56">
        <v>43217</v>
      </c>
      <c r="D96" s="4">
        <v>9530.9</v>
      </c>
      <c r="E96" s="13">
        <f t="shared" si="16"/>
        <v>32</v>
      </c>
      <c r="F96" s="4">
        <f t="shared" si="17"/>
        <v>7.3915624999999636</v>
      </c>
      <c r="G96" s="4"/>
      <c r="H96" s="4"/>
      <c r="I96" s="4"/>
      <c r="J96" s="4"/>
      <c r="K96" s="4"/>
      <c r="L96" s="4"/>
      <c r="M96" s="4"/>
      <c r="N96" s="4">
        <f>D96-D95</f>
        <v>236.52999999999884</v>
      </c>
      <c r="O96" s="4"/>
      <c r="P96" s="4"/>
    </row>
    <row r="97" spans="2:17" ht="12" customHeight="1" x14ac:dyDescent="0.25">
      <c r="B97" s="56">
        <v>43241</v>
      </c>
      <c r="D97" s="4">
        <v>9598.7999999999993</v>
      </c>
      <c r="E97" s="13">
        <f t="shared" si="16"/>
        <v>24</v>
      </c>
      <c r="F97" s="4">
        <f t="shared" si="17"/>
        <v>2.8291666666666515</v>
      </c>
      <c r="G97" s="4"/>
      <c r="H97" s="4"/>
      <c r="I97" s="4"/>
      <c r="J97" s="4"/>
      <c r="K97" s="4"/>
      <c r="L97" s="4"/>
      <c r="M97" s="4"/>
      <c r="N97" s="4">
        <f>D97-D96</f>
        <v>67.899999999999636</v>
      </c>
      <c r="O97" s="4"/>
      <c r="P97" s="4"/>
    </row>
    <row r="98" spans="2:17" ht="12" customHeight="1" x14ac:dyDescent="0.25">
      <c r="B98" s="56">
        <v>43269</v>
      </c>
      <c r="D98" s="4">
        <v>9628.2800000000007</v>
      </c>
      <c r="E98" s="13">
        <f t="shared" si="16"/>
        <v>27</v>
      </c>
      <c r="F98" s="4">
        <f t="shared" si="17"/>
        <v>1.0918518518519031</v>
      </c>
      <c r="G98" s="4"/>
      <c r="H98" s="4"/>
      <c r="I98" s="4"/>
      <c r="J98" s="4"/>
      <c r="K98" s="4"/>
      <c r="L98" s="4"/>
      <c r="M98" s="4"/>
      <c r="N98" s="4">
        <f>D98-D97</f>
        <v>29.480000000001382</v>
      </c>
      <c r="O98" s="4"/>
      <c r="P98" s="4">
        <f>D98-D87</f>
        <v>1804.2700000000004</v>
      </c>
    </row>
    <row r="99" spans="2:17" ht="12" customHeight="1" x14ac:dyDescent="0.25">
      <c r="B99" s="56">
        <v>43285</v>
      </c>
      <c r="D99" s="4">
        <v>9644.2900000000009</v>
      </c>
      <c r="E99" s="13">
        <f t="shared" si="16"/>
        <v>16</v>
      </c>
      <c r="F99" s="4">
        <f t="shared" si="17"/>
        <v>1.0006250000000136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7" ht="12" customHeight="1" x14ac:dyDescent="0.25">
      <c r="B100" s="56">
        <v>43298</v>
      </c>
      <c r="D100" s="4">
        <v>9661.08</v>
      </c>
      <c r="E100" s="13">
        <f t="shared" si="16"/>
        <v>13</v>
      </c>
      <c r="F100" s="4">
        <f t="shared" si="17"/>
        <v>1.2915384615383887</v>
      </c>
      <c r="G100" s="4"/>
      <c r="H100" s="4"/>
      <c r="I100" s="4"/>
      <c r="J100" s="4"/>
      <c r="K100" s="4"/>
      <c r="L100" s="4"/>
      <c r="M100" s="4"/>
      <c r="N100" s="4">
        <f>D100-D99</f>
        <v>16.789999999999054</v>
      </c>
      <c r="O100" s="4"/>
      <c r="P100" s="4"/>
    </row>
    <row r="101" spans="2:17" ht="12" customHeight="1" x14ac:dyDescent="0.25">
      <c r="B101" s="56">
        <v>43317</v>
      </c>
      <c r="D101" s="4">
        <v>9702.4</v>
      </c>
      <c r="E101" s="13">
        <f t="shared" si="16"/>
        <v>18</v>
      </c>
      <c r="F101" s="4">
        <f t="shared" si="17"/>
        <v>2.2955555555555396</v>
      </c>
      <c r="G101" s="4"/>
      <c r="H101" s="4"/>
      <c r="I101" s="4"/>
      <c r="J101" s="4"/>
      <c r="K101" s="4"/>
      <c r="L101" s="4"/>
      <c r="M101" s="4"/>
      <c r="N101" s="4">
        <f>D101-D99</f>
        <v>58.109999999998763</v>
      </c>
      <c r="O101" s="4">
        <f>N101-N100</f>
        <v>41.319999999999709</v>
      </c>
      <c r="P101" s="4">
        <f>D101-D89</f>
        <v>1831.29</v>
      </c>
    </row>
    <row r="102" spans="2:17" ht="12" customHeight="1" x14ac:dyDescent="0.25">
      <c r="B102" s="56">
        <v>43364</v>
      </c>
      <c r="D102" s="4">
        <v>9762.31</v>
      </c>
      <c r="E102" s="13">
        <f t="shared" si="16"/>
        <v>46</v>
      </c>
      <c r="F102" s="4">
        <f t="shared" si="17"/>
        <v>1.302391304347823</v>
      </c>
      <c r="G102" s="4"/>
      <c r="H102" s="4"/>
      <c r="I102" s="4"/>
      <c r="J102" s="4"/>
      <c r="K102" s="4"/>
      <c r="L102" s="4"/>
      <c r="M102" s="4"/>
      <c r="N102" s="4">
        <f>D102-D101</f>
        <v>59.909999999999854</v>
      </c>
      <c r="O102" s="4"/>
      <c r="P102" s="4">
        <f>D102-D90</f>
        <v>1812.3099999999995</v>
      </c>
    </row>
    <row r="103" spans="2:17" ht="12" customHeight="1" x14ac:dyDescent="0.25">
      <c r="B103" s="56">
        <v>43401</v>
      </c>
      <c r="D103" s="4">
        <v>9930.7800000000007</v>
      </c>
      <c r="E103" s="13">
        <f t="shared" si="16"/>
        <v>37</v>
      </c>
      <c r="F103" s="4">
        <f t="shared" si="17"/>
        <v>4.5532432432432746</v>
      </c>
      <c r="G103" s="4"/>
      <c r="H103" s="4"/>
      <c r="I103" s="4"/>
      <c r="J103" s="4"/>
      <c r="K103" s="4"/>
      <c r="L103" s="4"/>
      <c r="M103" s="4"/>
      <c r="N103" s="4">
        <f>D103-D101</f>
        <v>228.38000000000102</v>
      </c>
      <c r="O103" s="4"/>
      <c r="P103" s="4"/>
      <c r="Q103" s="14"/>
    </row>
    <row r="104" spans="2:17" ht="12" customHeight="1" x14ac:dyDescent="0.25">
      <c r="B104" s="56">
        <v>43442</v>
      </c>
      <c r="D104" s="4">
        <v>10300.530000000001</v>
      </c>
      <c r="E104" s="13">
        <f t="shared" si="16"/>
        <v>40</v>
      </c>
      <c r="F104" s="4">
        <f t="shared" si="17"/>
        <v>9.2437500000000004</v>
      </c>
      <c r="G104" s="4">
        <f>SUM(M11:N11)</f>
        <v>997</v>
      </c>
      <c r="H104" s="57">
        <f>(D104-D103)/G104</f>
        <v>0.3708625877632899</v>
      </c>
      <c r="I104" s="4"/>
      <c r="J104" s="4"/>
      <c r="K104" s="4"/>
      <c r="L104" s="4"/>
      <c r="M104" s="4"/>
      <c r="N104" s="4">
        <f>D104-D103</f>
        <v>369.75</v>
      </c>
      <c r="O104" s="4"/>
      <c r="P104" s="4"/>
    </row>
    <row r="105" spans="2:17" ht="12" customHeight="1" x14ac:dyDescent="0.25">
      <c r="B105" s="56">
        <v>43464</v>
      </c>
      <c r="D105" s="4">
        <v>531.5</v>
      </c>
      <c r="E105" s="13">
        <f t="shared" si="16"/>
        <v>22</v>
      </c>
      <c r="F105" s="4">
        <f>(D105-D104+10000)/E105</f>
        <v>10.498636363636335</v>
      </c>
      <c r="G105" s="4"/>
      <c r="H105" s="4"/>
      <c r="I105" s="4"/>
      <c r="J105" s="4"/>
      <c r="K105" s="4"/>
      <c r="L105" s="4"/>
      <c r="M105" s="4"/>
      <c r="N105" s="4">
        <f>D105-D104+10000</f>
        <v>230.96999999999935</v>
      </c>
      <c r="O105" s="4"/>
      <c r="P105" s="4">
        <f>D105-D93+10000</f>
        <v>1673.8700000000008</v>
      </c>
    </row>
    <row r="106" spans="2:17" ht="12" customHeight="1" x14ac:dyDescent="0.25">
      <c r="B106" s="56">
        <v>43547</v>
      </c>
      <c r="D106" s="4">
        <v>994.26</v>
      </c>
      <c r="E106" s="13">
        <f t="shared" si="16"/>
        <v>83</v>
      </c>
      <c r="F106" s="4">
        <f t="shared" ref="F106:F151" si="18">(D106-D105)/E106</f>
        <v>5.5754216867469877</v>
      </c>
      <c r="G106" s="4"/>
      <c r="H106" s="4"/>
      <c r="I106" s="4"/>
      <c r="J106" s="4"/>
      <c r="K106" s="4"/>
      <c r="L106" s="4"/>
      <c r="M106" s="4"/>
      <c r="N106" s="4">
        <f t="shared" ref="N106:N151" si="19">D106-D105</f>
        <v>462.76</v>
      </c>
      <c r="O106" s="4"/>
      <c r="P106" s="4">
        <f>D106-D95+10000</f>
        <v>1699.8899999999994</v>
      </c>
    </row>
    <row r="107" spans="2:17" ht="12" customHeight="1" x14ac:dyDescent="0.25">
      <c r="B107" s="56">
        <v>43582</v>
      </c>
      <c r="D107" s="4">
        <v>1190.8699999999999</v>
      </c>
      <c r="E107" s="13">
        <f t="shared" si="16"/>
        <v>34</v>
      </c>
      <c r="F107" s="4">
        <f t="shared" si="18"/>
        <v>5.7826470588235264</v>
      </c>
      <c r="G107" s="4"/>
      <c r="H107" s="4"/>
      <c r="I107" s="4"/>
      <c r="J107" s="4"/>
      <c r="K107" s="4"/>
      <c r="L107" s="4"/>
      <c r="M107" s="4"/>
      <c r="N107" s="4">
        <f t="shared" si="19"/>
        <v>196.6099999999999</v>
      </c>
      <c r="O107" s="4"/>
      <c r="P107" s="4">
        <f>D107-D96+10000</f>
        <v>1659.9700000000012</v>
      </c>
    </row>
    <row r="108" spans="2:17" ht="12" customHeight="1" x14ac:dyDescent="0.25">
      <c r="B108" s="56">
        <v>43622</v>
      </c>
      <c r="D108" s="4">
        <v>1333.82</v>
      </c>
      <c r="E108" s="13">
        <f t="shared" si="16"/>
        <v>39</v>
      </c>
      <c r="F108" s="4">
        <f t="shared" si="18"/>
        <v>3.6653846153846166</v>
      </c>
      <c r="G108" s="4"/>
      <c r="H108" s="4"/>
      <c r="I108" s="4"/>
      <c r="J108" s="4"/>
      <c r="K108" s="4"/>
      <c r="L108" s="4"/>
      <c r="M108" s="4"/>
      <c r="N108" s="4">
        <f t="shared" si="19"/>
        <v>142.95000000000005</v>
      </c>
      <c r="O108" s="4"/>
      <c r="P108" s="4">
        <f>D108-D98+10000</f>
        <v>1705.5399999999991</v>
      </c>
    </row>
    <row r="109" spans="2:17" ht="12" customHeight="1" x14ac:dyDescent="0.25">
      <c r="B109" s="56">
        <v>43670</v>
      </c>
      <c r="D109" s="4">
        <v>1398.19</v>
      </c>
      <c r="E109" s="13">
        <f t="shared" si="16"/>
        <v>48</v>
      </c>
      <c r="F109" s="4">
        <f t="shared" si="18"/>
        <v>1.3410416666666691</v>
      </c>
      <c r="G109" s="4"/>
      <c r="H109" s="4"/>
      <c r="I109" s="4"/>
      <c r="J109" s="4"/>
      <c r="K109" s="4"/>
      <c r="L109" s="4"/>
      <c r="M109" s="4"/>
      <c r="N109" s="4">
        <f t="shared" si="19"/>
        <v>64.370000000000118</v>
      </c>
      <c r="O109" s="4"/>
      <c r="P109" s="4"/>
    </row>
    <row r="110" spans="2:17" ht="12" customHeight="1" x14ac:dyDescent="0.25">
      <c r="B110" s="56">
        <v>43681</v>
      </c>
      <c r="D110" s="4">
        <v>1419.41</v>
      </c>
      <c r="E110" s="13">
        <f t="shared" si="16"/>
        <v>10</v>
      </c>
      <c r="F110" s="4">
        <f t="shared" si="18"/>
        <v>2.1220000000000026</v>
      </c>
      <c r="G110" s="4"/>
      <c r="H110" s="4"/>
      <c r="I110" s="4"/>
      <c r="J110" s="4"/>
      <c r="K110" s="4"/>
      <c r="L110" s="4"/>
      <c r="M110" s="4"/>
      <c r="N110" s="4">
        <f t="shared" si="19"/>
        <v>21.220000000000027</v>
      </c>
      <c r="O110" s="4"/>
      <c r="P110" s="4">
        <f>D110-D101+10000</f>
        <v>1717.0100000000002</v>
      </c>
    </row>
    <row r="111" spans="2:17" ht="12" customHeight="1" x14ac:dyDescent="0.3">
      <c r="B111" s="56">
        <v>43744</v>
      </c>
      <c r="D111" s="47">
        <v>1581.94</v>
      </c>
      <c r="E111" s="13">
        <f t="shared" si="16"/>
        <v>62</v>
      </c>
      <c r="F111" s="4">
        <f t="shared" si="18"/>
        <v>2.6214516129032255</v>
      </c>
      <c r="G111" s="4"/>
      <c r="H111" s="4"/>
      <c r="I111" s="4"/>
      <c r="J111" s="4"/>
      <c r="K111" s="4"/>
      <c r="L111" s="4"/>
      <c r="M111" s="4"/>
      <c r="N111" s="4">
        <f t="shared" si="19"/>
        <v>162.52999999999997</v>
      </c>
      <c r="O111" s="4"/>
      <c r="P111" s="4"/>
    </row>
    <row r="112" spans="2:17" ht="12" customHeight="1" x14ac:dyDescent="0.25">
      <c r="B112" s="56">
        <v>43806</v>
      </c>
      <c r="D112" s="4">
        <v>2125.79</v>
      </c>
      <c r="E112" s="13">
        <f t="shared" si="16"/>
        <v>61</v>
      </c>
      <c r="F112" s="4">
        <f t="shared" si="18"/>
        <v>8.9155737704918021</v>
      </c>
      <c r="G112" s="4"/>
      <c r="H112" s="4"/>
      <c r="I112" s="4"/>
      <c r="J112" s="4"/>
      <c r="K112" s="4"/>
      <c r="L112" s="4"/>
      <c r="M112" s="4"/>
      <c r="N112" s="4">
        <f t="shared" si="19"/>
        <v>543.84999999999991</v>
      </c>
      <c r="O112" s="4"/>
      <c r="P112" s="4">
        <f>D112-D104+10000</f>
        <v>1825.2599999999993</v>
      </c>
    </row>
    <row r="113" spans="2:18" ht="12" customHeight="1" x14ac:dyDescent="0.25">
      <c r="B113" s="56">
        <v>43827</v>
      </c>
      <c r="D113" s="4">
        <v>2323.56</v>
      </c>
      <c r="E113" s="13">
        <f t="shared" si="16"/>
        <v>21</v>
      </c>
      <c r="F113" s="4">
        <f t="shared" si="18"/>
        <v>9.4176190476190467</v>
      </c>
      <c r="G113" s="4"/>
      <c r="H113" s="4"/>
      <c r="I113" s="4"/>
      <c r="J113" s="4"/>
      <c r="K113" s="4"/>
      <c r="L113" s="4"/>
      <c r="M113" s="4"/>
      <c r="N113" s="4">
        <f t="shared" si="19"/>
        <v>197.76999999999998</v>
      </c>
      <c r="O113" s="4"/>
      <c r="P113" s="4">
        <f>D113-D105</f>
        <v>1792.06</v>
      </c>
    </row>
    <row r="114" spans="2:18" ht="12" customHeight="1" x14ac:dyDescent="0.25">
      <c r="B114" s="56">
        <v>43876</v>
      </c>
      <c r="D114" s="4">
        <v>2777.25</v>
      </c>
      <c r="E114" s="13">
        <f t="shared" si="16"/>
        <v>47</v>
      </c>
      <c r="F114" s="4">
        <f t="shared" si="18"/>
        <v>9.6529787234042566</v>
      </c>
      <c r="G114" s="4"/>
      <c r="H114" s="4"/>
      <c r="I114" s="4"/>
      <c r="J114" s="4"/>
      <c r="K114" s="4"/>
      <c r="L114" s="4"/>
      <c r="M114" s="4"/>
      <c r="N114" s="4">
        <f t="shared" si="19"/>
        <v>453.69000000000005</v>
      </c>
      <c r="O114" s="4"/>
      <c r="P114" s="4"/>
    </row>
    <row r="115" spans="2:18" ht="12" customHeight="1" x14ac:dyDescent="0.25">
      <c r="B115" s="56">
        <v>43953</v>
      </c>
      <c r="D115" s="4">
        <v>3386.03</v>
      </c>
      <c r="E115" s="13">
        <f t="shared" ref="E115:E151" si="20">DAYS360(B114,B115)</f>
        <v>77</v>
      </c>
      <c r="F115" s="4">
        <f t="shared" si="18"/>
        <v>7.9062337662337692</v>
      </c>
      <c r="G115" s="4"/>
      <c r="H115" s="4"/>
      <c r="I115" s="4"/>
      <c r="J115" s="4"/>
      <c r="K115" s="4"/>
      <c r="L115" s="4"/>
      <c r="M115" s="4"/>
      <c r="N115" s="4">
        <f t="shared" si="19"/>
        <v>608.7800000000002</v>
      </c>
      <c r="O115" s="4"/>
      <c r="P115" s="4">
        <f>D115-D107</f>
        <v>2195.1600000000003</v>
      </c>
    </row>
    <row r="116" spans="2:18" ht="12" customHeight="1" x14ac:dyDescent="0.25">
      <c r="B116" s="56">
        <v>43972</v>
      </c>
      <c r="D116" s="4">
        <v>3469.97</v>
      </c>
      <c r="E116" s="13">
        <f t="shared" si="20"/>
        <v>19</v>
      </c>
      <c r="F116" s="4">
        <f t="shared" si="18"/>
        <v>4.4178947368420838</v>
      </c>
      <c r="G116" s="4"/>
      <c r="H116" s="4"/>
      <c r="I116" s="4"/>
      <c r="J116" s="4"/>
      <c r="K116" s="4"/>
      <c r="L116" s="4"/>
      <c r="M116" s="4"/>
      <c r="N116" s="4">
        <f t="shared" si="19"/>
        <v>83.9399999999996</v>
      </c>
      <c r="O116" s="4"/>
      <c r="P116" s="4"/>
    </row>
    <row r="117" spans="2:18" ht="12" customHeight="1" x14ac:dyDescent="0.25">
      <c r="B117" s="56">
        <v>43994</v>
      </c>
      <c r="D117" s="4">
        <v>3511.84</v>
      </c>
      <c r="E117" s="13">
        <f t="shared" si="20"/>
        <v>21</v>
      </c>
      <c r="F117" s="4">
        <f t="shared" si="18"/>
        <v>1.9938095238095404</v>
      </c>
      <c r="G117" s="4"/>
      <c r="H117" s="4"/>
      <c r="I117" s="4"/>
      <c r="J117" s="4"/>
      <c r="K117" s="4"/>
      <c r="L117" s="4"/>
      <c r="M117" s="4"/>
      <c r="N117" s="4">
        <f t="shared" si="19"/>
        <v>41.870000000000346</v>
      </c>
      <c r="O117" s="4"/>
      <c r="P117" s="4"/>
    </row>
    <row r="118" spans="2:18" ht="12" customHeight="1" x14ac:dyDescent="0.25">
      <c r="B118" s="56">
        <v>44038</v>
      </c>
      <c r="D118" s="4">
        <v>3570.78</v>
      </c>
      <c r="E118" s="13">
        <f t="shared" si="20"/>
        <v>44</v>
      </c>
      <c r="F118" s="4">
        <f t="shared" si="18"/>
        <v>1.3395454545454557</v>
      </c>
      <c r="G118" s="4"/>
      <c r="H118" s="4"/>
      <c r="I118" s="4"/>
      <c r="J118" s="4"/>
      <c r="K118" s="4"/>
      <c r="L118" s="4"/>
      <c r="M118" s="4"/>
      <c r="N118" s="4">
        <f t="shared" si="19"/>
        <v>58.940000000000055</v>
      </c>
      <c r="O118" s="4"/>
      <c r="P118" s="4">
        <f>D118-D109</f>
        <v>2172.59</v>
      </c>
    </row>
    <row r="119" spans="2:18" ht="12" customHeight="1" x14ac:dyDescent="0.25">
      <c r="B119" s="56">
        <v>44072</v>
      </c>
      <c r="D119" s="4">
        <v>3600.26</v>
      </c>
      <c r="E119" s="13">
        <f t="shared" si="20"/>
        <v>33</v>
      </c>
      <c r="F119" s="4">
        <f t="shared" si="18"/>
        <v>0.89333333333333387</v>
      </c>
      <c r="G119" s="4"/>
      <c r="H119" s="4"/>
      <c r="I119" s="4"/>
      <c r="J119" s="4"/>
      <c r="K119" s="4"/>
      <c r="L119" s="4"/>
      <c r="M119" s="4"/>
      <c r="N119" s="4">
        <f t="shared" si="19"/>
        <v>29.480000000000018</v>
      </c>
      <c r="O119" s="4"/>
      <c r="P119" s="4"/>
    </row>
    <row r="120" spans="2:18" ht="12" customHeight="1" x14ac:dyDescent="0.25">
      <c r="B120" s="56">
        <v>44101</v>
      </c>
      <c r="D120" s="4">
        <v>3662.21</v>
      </c>
      <c r="E120" s="13">
        <f t="shared" si="20"/>
        <v>28</v>
      </c>
      <c r="F120" s="4">
        <f t="shared" si="18"/>
        <v>2.2124999999999937</v>
      </c>
      <c r="G120" s="4"/>
      <c r="H120" s="4"/>
      <c r="I120" s="4"/>
      <c r="J120" s="4"/>
      <c r="K120" s="4"/>
      <c r="L120" s="4"/>
      <c r="M120" s="4"/>
      <c r="N120" s="4">
        <f t="shared" si="19"/>
        <v>61.949999999999818</v>
      </c>
      <c r="O120" s="4"/>
      <c r="P120" s="4">
        <f>D120-D111</f>
        <v>2080.27</v>
      </c>
    </row>
    <row r="121" spans="2:18" ht="12" customHeight="1" x14ac:dyDescent="0.25">
      <c r="B121" s="56">
        <v>44117</v>
      </c>
      <c r="D121" s="4">
        <v>3707.35</v>
      </c>
      <c r="E121" s="13">
        <f t="shared" si="20"/>
        <v>16</v>
      </c>
      <c r="F121" s="4">
        <f t="shared" si="18"/>
        <v>2.821249999999992</v>
      </c>
      <c r="G121" s="4"/>
      <c r="H121" s="4"/>
      <c r="I121" s="4"/>
      <c r="J121" s="4"/>
      <c r="K121" s="4"/>
      <c r="L121" s="4"/>
      <c r="M121" s="4"/>
      <c r="N121" s="4">
        <f t="shared" si="19"/>
        <v>45.139999999999873</v>
      </c>
      <c r="O121" s="4"/>
      <c r="P121" s="4">
        <f>D121-D111</f>
        <v>2125.41</v>
      </c>
    </row>
    <row r="122" spans="2:18" ht="12" customHeight="1" x14ac:dyDescent="0.25">
      <c r="B122" s="56">
        <v>44201</v>
      </c>
      <c r="D122" s="4">
        <v>4438.38</v>
      </c>
      <c r="E122" s="13">
        <f t="shared" si="20"/>
        <v>82</v>
      </c>
      <c r="F122" s="4">
        <f t="shared" si="18"/>
        <v>8.9150000000000027</v>
      </c>
      <c r="G122" s="4"/>
      <c r="H122" s="4"/>
      <c r="I122" s="4"/>
      <c r="J122" s="4"/>
      <c r="K122" s="4"/>
      <c r="L122" s="4"/>
      <c r="M122" s="4"/>
      <c r="N122" s="4">
        <f t="shared" si="19"/>
        <v>731.0300000000002</v>
      </c>
      <c r="O122" s="4">
        <f>B122-B113</f>
        <v>374</v>
      </c>
      <c r="P122" s="4">
        <f>D122-D113</f>
        <v>2114.8200000000002</v>
      </c>
    </row>
    <row r="123" spans="2:18" ht="12" customHeight="1" x14ac:dyDescent="0.3">
      <c r="B123" s="56">
        <v>44287</v>
      </c>
      <c r="D123" s="4">
        <v>4926.05</v>
      </c>
      <c r="E123" s="13">
        <f t="shared" si="20"/>
        <v>86</v>
      </c>
      <c r="F123" s="4">
        <f t="shared" si="18"/>
        <v>5.6705813953488384</v>
      </c>
      <c r="G123" s="4"/>
      <c r="H123" s="4"/>
      <c r="I123" s="4"/>
      <c r="J123" s="4"/>
      <c r="K123" s="4"/>
      <c r="L123" s="4"/>
      <c r="M123" s="4"/>
      <c r="N123" s="4">
        <f t="shared" si="19"/>
        <v>487.67000000000007</v>
      </c>
      <c r="O123" s="4">
        <f>B123-B115</f>
        <v>334</v>
      </c>
      <c r="P123" s="4">
        <f>D123-D115</f>
        <v>1540.02</v>
      </c>
      <c r="R123" s="47">
        <f>P123/O123*365</f>
        <v>1682.9559880239522</v>
      </c>
    </row>
    <row r="124" spans="2:18" ht="12" customHeight="1" x14ac:dyDescent="0.25">
      <c r="B124" s="56">
        <v>44332</v>
      </c>
      <c r="D124" s="4">
        <v>5146.6099999999997</v>
      </c>
      <c r="E124" s="13">
        <f t="shared" si="20"/>
        <v>45</v>
      </c>
      <c r="F124" s="4">
        <f t="shared" si="18"/>
        <v>4.901333333333322</v>
      </c>
      <c r="G124" s="4"/>
      <c r="H124" s="4"/>
      <c r="I124" s="4"/>
      <c r="J124" s="4"/>
      <c r="K124" s="4"/>
      <c r="L124" s="4"/>
      <c r="M124" s="4"/>
      <c r="N124" s="4">
        <f t="shared" si="19"/>
        <v>220.55999999999949</v>
      </c>
      <c r="O124" s="4">
        <f>B124-B116</f>
        <v>360</v>
      </c>
      <c r="P124" s="4">
        <f>D124-D116</f>
        <v>1676.6399999999999</v>
      </c>
    </row>
    <row r="125" spans="2:18" ht="12" customHeight="1" x14ac:dyDescent="0.25">
      <c r="B125" s="56">
        <v>44353</v>
      </c>
      <c r="D125" s="4">
        <v>5199.4399999999996</v>
      </c>
      <c r="E125" s="13">
        <f t="shared" si="20"/>
        <v>20</v>
      </c>
      <c r="F125" s="4">
        <f t="shared" si="18"/>
        <v>2.6414999999999962</v>
      </c>
      <c r="G125" s="4"/>
      <c r="H125" s="4"/>
      <c r="I125" s="4"/>
      <c r="J125" s="4"/>
      <c r="K125" s="4"/>
      <c r="L125" s="4"/>
      <c r="M125" s="4"/>
      <c r="N125" s="4">
        <f t="shared" si="19"/>
        <v>52.829999999999927</v>
      </c>
      <c r="O125" s="4">
        <f>B125-B117</f>
        <v>359</v>
      </c>
      <c r="P125" s="4">
        <f>D125-D117</f>
        <v>1687.5999999999995</v>
      </c>
    </row>
    <row r="126" spans="2:18" ht="12" customHeight="1" x14ac:dyDescent="0.25">
      <c r="B126" s="56">
        <v>44379</v>
      </c>
      <c r="D126" s="4">
        <v>5251.48</v>
      </c>
      <c r="E126" s="13">
        <f t="shared" si="20"/>
        <v>26</v>
      </c>
      <c r="F126" s="4">
        <f t="shared" si="18"/>
        <v>2.0015384615384599</v>
      </c>
      <c r="G126" s="4"/>
      <c r="H126" s="4"/>
      <c r="I126" s="4"/>
      <c r="J126" s="4"/>
      <c r="K126" s="4"/>
      <c r="L126" s="4"/>
      <c r="M126" s="4"/>
      <c r="N126" s="4">
        <f t="shared" si="19"/>
        <v>52.039999999999964</v>
      </c>
      <c r="O126" s="4">
        <f>B126-B118</f>
        <v>341</v>
      </c>
      <c r="P126" s="4">
        <f>D126-D118</f>
        <v>1680.6999999999994</v>
      </c>
    </row>
    <row r="127" spans="2:18" ht="12" customHeight="1" x14ac:dyDescent="0.25">
      <c r="B127" s="56">
        <v>44397</v>
      </c>
      <c r="D127" s="4">
        <v>5295.15</v>
      </c>
      <c r="E127" s="13">
        <f t="shared" si="20"/>
        <v>18</v>
      </c>
      <c r="F127" s="4">
        <f t="shared" si="18"/>
        <v>2.4261111111111151</v>
      </c>
      <c r="G127" s="4"/>
      <c r="H127" s="4"/>
      <c r="I127" s="4"/>
      <c r="J127" s="4"/>
      <c r="K127" s="4"/>
      <c r="L127" s="4"/>
      <c r="M127" s="4"/>
      <c r="N127" s="4">
        <f t="shared" si="19"/>
        <v>43.670000000000073</v>
      </c>
      <c r="O127" s="4">
        <f>B127-B118</f>
        <v>359</v>
      </c>
      <c r="P127" s="4">
        <f>D127-D118</f>
        <v>1724.3699999999994</v>
      </c>
    </row>
    <row r="128" spans="2:18" ht="12" customHeight="1" x14ac:dyDescent="0.25">
      <c r="B128" s="56">
        <v>44428</v>
      </c>
      <c r="D128" s="4">
        <v>5324.43</v>
      </c>
      <c r="E128" s="13">
        <f t="shared" si="20"/>
        <v>30</v>
      </c>
      <c r="F128" s="4">
        <f t="shared" si="18"/>
        <v>0.97600000000002185</v>
      </c>
      <c r="G128" s="4"/>
      <c r="H128" s="4"/>
      <c r="I128" s="4"/>
      <c r="J128" s="4"/>
      <c r="K128" s="4"/>
      <c r="L128" s="4"/>
      <c r="M128" s="4"/>
      <c r="N128" s="4">
        <f t="shared" si="19"/>
        <v>29.280000000000655</v>
      </c>
      <c r="O128" s="4">
        <f>B128-B119</f>
        <v>356</v>
      </c>
      <c r="P128" s="4">
        <f>D128-D119</f>
        <v>1724.17</v>
      </c>
    </row>
    <row r="129" spans="2:16" ht="12" customHeight="1" x14ac:dyDescent="0.25">
      <c r="B129" s="56">
        <v>44479</v>
      </c>
      <c r="D129" s="4">
        <v>5511.95</v>
      </c>
      <c r="E129" s="13">
        <f t="shared" si="20"/>
        <v>50</v>
      </c>
      <c r="F129" s="4">
        <f t="shared" si="18"/>
        <v>3.7503999999999906</v>
      </c>
      <c r="G129" s="4"/>
      <c r="H129" s="4"/>
      <c r="I129" s="4"/>
      <c r="J129" s="4"/>
      <c r="K129" s="4"/>
      <c r="L129" s="4"/>
      <c r="M129" s="4"/>
      <c r="N129" s="4">
        <f t="shared" si="19"/>
        <v>187.51999999999953</v>
      </c>
      <c r="O129" s="4">
        <f>B129-B121</f>
        <v>362</v>
      </c>
      <c r="P129" s="4">
        <f>D129-D121</f>
        <v>1804.6</v>
      </c>
    </row>
    <row r="130" spans="2:16" ht="12" customHeight="1" x14ac:dyDescent="0.25">
      <c r="B130" s="58">
        <v>44527</v>
      </c>
      <c r="D130" s="4">
        <v>5819.9</v>
      </c>
      <c r="E130" s="13">
        <f t="shared" si="20"/>
        <v>47</v>
      </c>
      <c r="F130" s="4">
        <f t="shared" si="18"/>
        <v>6.552127659574464</v>
      </c>
      <c r="G130" s="4"/>
      <c r="H130" s="4"/>
      <c r="I130" s="4"/>
      <c r="J130" s="4"/>
      <c r="K130" s="4"/>
      <c r="L130" s="4"/>
      <c r="M130" s="4"/>
      <c r="N130" s="4">
        <f t="shared" si="19"/>
        <v>307.94999999999982</v>
      </c>
      <c r="O130" s="4"/>
      <c r="P130" s="4"/>
    </row>
    <row r="131" spans="2:16" ht="12" customHeight="1" x14ac:dyDescent="0.25">
      <c r="B131" s="56">
        <v>44563</v>
      </c>
      <c r="D131" s="4">
        <v>5910.14</v>
      </c>
      <c r="E131" s="13">
        <f t="shared" si="20"/>
        <v>35</v>
      </c>
      <c r="F131" s="4">
        <f t="shared" si="18"/>
        <v>2.5782857142857338</v>
      </c>
      <c r="G131" s="4"/>
      <c r="H131" s="4"/>
      <c r="I131" s="4"/>
      <c r="J131" s="4"/>
      <c r="K131" s="4"/>
      <c r="L131" s="4"/>
      <c r="M131" s="4"/>
      <c r="N131" s="4">
        <f t="shared" si="19"/>
        <v>90.240000000000691</v>
      </c>
      <c r="O131" s="4">
        <f>B131-B122</f>
        <v>362</v>
      </c>
      <c r="P131" s="4">
        <f>D131-D122</f>
        <v>1471.7600000000002</v>
      </c>
    </row>
    <row r="132" spans="2:16" ht="12" customHeight="1" x14ac:dyDescent="0.25">
      <c r="B132" s="56">
        <v>44611</v>
      </c>
      <c r="D132" s="4">
        <v>6231.45</v>
      </c>
      <c r="E132" s="13">
        <f t="shared" si="20"/>
        <v>47</v>
      </c>
      <c r="F132" s="4">
        <f t="shared" si="18"/>
        <v>6.8363829787233934</v>
      </c>
      <c r="G132" s="4"/>
      <c r="H132" s="4"/>
      <c r="I132" s="4"/>
      <c r="J132" s="4"/>
      <c r="K132" s="4"/>
      <c r="L132" s="4"/>
      <c r="M132" s="4"/>
      <c r="N132" s="4">
        <f t="shared" si="19"/>
        <v>321.30999999999949</v>
      </c>
      <c r="O132" s="4">
        <f>B132-B122</f>
        <v>410</v>
      </c>
      <c r="P132" s="4"/>
    </row>
    <row r="133" spans="2:16" ht="12" customHeight="1" x14ac:dyDescent="0.25">
      <c r="B133" s="56">
        <v>44657</v>
      </c>
      <c r="C133" s="1" t="s">
        <v>63</v>
      </c>
      <c r="D133" s="4">
        <v>6741</v>
      </c>
      <c r="E133" s="13">
        <f t="shared" si="20"/>
        <v>47</v>
      </c>
      <c r="F133" s="4">
        <f t="shared" si="18"/>
        <v>10.841489361702132</v>
      </c>
      <c r="G133" s="4"/>
      <c r="H133" s="4"/>
      <c r="I133" s="4"/>
      <c r="J133" s="4"/>
      <c r="K133" s="4"/>
      <c r="L133" s="4"/>
      <c r="M133" s="4"/>
      <c r="N133" s="4">
        <f t="shared" si="19"/>
        <v>509.55000000000018</v>
      </c>
      <c r="O133" s="4">
        <f>B133-B123</f>
        <v>370</v>
      </c>
      <c r="P133" s="4">
        <f>D133-D123</f>
        <v>1814.9499999999998</v>
      </c>
    </row>
    <row r="134" spans="2:16" ht="12" customHeight="1" x14ac:dyDescent="0.25">
      <c r="B134" s="56">
        <v>44716</v>
      </c>
      <c r="D134" s="4">
        <v>6824.36</v>
      </c>
      <c r="E134" s="13">
        <f t="shared" si="20"/>
        <v>58</v>
      </c>
      <c r="F134" s="4">
        <f t="shared" si="18"/>
        <v>1.4372413793103391</v>
      </c>
      <c r="G134" s="4"/>
      <c r="H134" s="4"/>
      <c r="I134" s="4"/>
      <c r="J134" s="4"/>
      <c r="K134" s="4"/>
      <c r="L134" s="4"/>
      <c r="M134" s="4"/>
      <c r="N134" s="4">
        <f t="shared" si="19"/>
        <v>83.359999999999673</v>
      </c>
      <c r="O134" s="4">
        <f>B134-B125</f>
        <v>363</v>
      </c>
      <c r="P134" s="4">
        <f>D134-D125</f>
        <v>1624.92</v>
      </c>
    </row>
    <row r="135" spans="2:16" ht="12" customHeight="1" x14ac:dyDescent="0.25">
      <c r="B135" s="56">
        <v>44752</v>
      </c>
      <c r="D135" s="4">
        <v>6875.85</v>
      </c>
      <c r="E135" s="13">
        <f t="shared" si="20"/>
        <v>36</v>
      </c>
      <c r="F135" s="4">
        <f t="shared" si="18"/>
        <v>1.4302777777777971</v>
      </c>
      <c r="G135" s="4"/>
      <c r="H135" s="4"/>
      <c r="I135" s="4"/>
      <c r="J135" s="4"/>
      <c r="K135" s="4"/>
      <c r="L135" s="4"/>
      <c r="M135" s="4"/>
      <c r="N135" s="4">
        <f t="shared" si="19"/>
        <v>51.490000000000691</v>
      </c>
      <c r="O135" s="4">
        <f>B135-B127</f>
        <v>355</v>
      </c>
      <c r="P135" s="4">
        <f>D135-D127</f>
        <v>1580.7000000000007</v>
      </c>
    </row>
    <row r="136" spans="2:16" ht="12" customHeight="1" x14ac:dyDescent="0.25">
      <c r="B136" s="56">
        <v>44766</v>
      </c>
      <c r="D136" s="4">
        <v>6890.21</v>
      </c>
      <c r="E136" s="13">
        <f t="shared" si="20"/>
        <v>14</v>
      </c>
      <c r="F136" s="4">
        <f t="shared" si="18"/>
        <v>1.0257142857142623</v>
      </c>
      <c r="G136" s="4"/>
      <c r="H136" s="4"/>
      <c r="I136" s="4"/>
      <c r="J136" s="4"/>
      <c r="K136" s="4"/>
      <c r="L136" s="4"/>
      <c r="M136" s="4"/>
      <c r="N136" s="4">
        <f t="shared" si="19"/>
        <v>14.359999999999673</v>
      </c>
      <c r="O136" s="4">
        <f>B136-B127</f>
        <v>369</v>
      </c>
      <c r="P136" s="4">
        <f>D136-D127</f>
        <v>1595.0600000000004</v>
      </c>
    </row>
    <row r="137" spans="2:16" ht="12" customHeight="1" x14ac:dyDescent="0.25">
      <c r="B137" s="56">
        <v>44793</v>
      </c>
      <c r="D137" s="4">
        <v>6916.32</v>
      </c>
      <c r="E137" s="13">
        <f t="shared" si="20"/>
        <v>26</v>
      </c>
      <c r="F137" s="4">
        <f t="shared" si="18"/>
        <v>1.0042307692307566</v>
      </c>
      <c r="G137" s="4"/>
      <c r="H137" s="4"/>
      <c r="I137" s="4"/>
      <c r="J137" s="4"/>
      <c r="K137" s="4"/>
      <c r="L137" s="4"/>
      <c r="M137" s="4"/>
      <c r="N137" s="4">
        <f t="shared" si="19"/>
        <v>26.109999999999673</v>
      </c>
      <c r="O137" s="4">
        <f>B137-B128</f>
        <v>365</v>
      </c>
      <c r="P137" s="4">
        <f>D137-D128</f>
        <v>1591.8899999999994</v>
      </c>
    </row>
    <row r="138" spans="2:16" ht="12" customHeight="1" x14ac:dyDescent="0.25">
      <c r="B138" s="56">
        <v>44827</v>
      </c>
      <c r="D138" s="4">
        <v>6991.88</v>
      </c>
      <c r="E138" s="13">
        <f t="shared" si="20"/>
        <v>33</v>
      </c>
      <c r="F138" s="4">
        <f t="shared" si="18"/>
        <v>2.289696969696982</v>
      </c>
      <c r="G138" s="4"/>
      <c r="H138" s="4"/>
      <c r="I138" s="4"/>
      <c r="J138" s="4"/>
      <c r="K138" s="4"/>
      <c r="L138" s="4"/>
      <c r="M138" s="4"/>
      <c r="N138" s="4">
        <f t="shared" si="19"/>
        <v>75.5600000000004</v>
      </c>
      <c r="O138" s="4">
        <f>B137-B128</f>
        <v>365</v>
      </c>
      <c r="P138" s="4">
        <f>D137-D128</f>
        <v>1591.8899999999994</v>
      </c>
    </row>
    <row r="139" spans="2:16" ht="12" customHeight="1" x14ac:dyDescent="0.25">
      <c r="B139" s="56">
        <v>44852</v>
      </c>
      <c r="D139" s="4">
        <v>7112.02</v>
      </c>
      <c r="E139" s="13">
        <f t="shared" si="20"/>
        <v>25</v>
      </c>
      <c r="F139" s="4">
        <f t="shared" si="18"/>
        <v>4.8056000000000134</v>
      </c>
      <c r="G139" s="4"/>
      <c r="H139" s="4"/>
      <c r="I139" s="4"/>
      <c r="J139" s="4"/>
      <c r="K139" s="4"/>
      <c r="L139" s="4"/>
      <c r="M139" s="4"/>
      <c r="N139" s="4">
        <f t="shared" si="19"/>
        <v>120.14000000000033</v>
      </c>
      <c r="O139" s="4">
        <f>B139-B129</f>
        <v>373</v>
      </c>
      <c r="P139" s="4">
        <f>D139-D129</f>
        <v>1600.0700000000006</v>
      </c>
    </row>
    <row r="140" spans="2:16" ht="12" customHeight="1" x14ac:dyDescent="0.25">
      <c r="B140" s="56">
        <v>44931</v>
      </c>
      <c r="D140" s="4">
        <v>7681.25</v>
      </c>
      <c r="E140" s="13">
        <f t="shared" si="20"/>
        <v>77</v>
      </c>
      <c r="F140" s="4">
        <f t="shared" si="18"/>
        <v>7.3925974025973966</v>
      </c>
      <c r="G140" s="4"/>
      <c r="H140" s="4"/>
      <c r="I140" s="4"/>
      <c r="J140" s="4"/>
      <c r="K140" s="4"/>
      <c r="L140" s="4"/>
      <c r="M140" s="4"/>
      <c r="N140" s="4">
        <f t="shared" si="19"/>
        <v>569.22999999999956</v>
      </c>
      <c r="O140" s="4">
        <f>B140-B131</f>
        <v>368</v>
      </c>
      <c r="P140" s="4">
        <f>D140-D131</f>
        <v>1771.1099999999997</v>
      </c>
    </row>
    <row r="141" spans="2:16" ht="12" customHeight="1" x14ac:dyDescent="0.25">
      <c r="B141" s="56">
        <v>44989</v>
      </c>
      <c r="D141" s="4">
        <v>8148.29</v>
      </c>
      <c r="E141" s="13">
        <f t="shared" si="20"/>
        <v>59</v>
      </c>
      <c r="F141" s="4">
        <f t="shared" si="18"/>
        <v>7.9159322033898301</v>
      </c>
      <c r="G141" s="4"/>
      <c r="H141" s="4"/>
      <c r="I141" s="4"/>
      <c r="J141" s="4"/>
      <c r="K141" s="4"/>
      <c r="L141" s="4"/>
      <c r="M141" s="4"/>
      <c r="N141" s="4">
        <f t="shared" si="19"/>
        <v>467.03999999999996</v>
      </c>
      <c r="O141" s="4">
        <f>B141-B132</f>
        <v>378</v>
      </c>
      <c r="P141" s="4">
        <f>D141-D132</f>
        <v>1916.8400000000001</v>
      </c>
    </row>
    <row r="142" spans="2:16" ht="12" customHeight="1" x14ac:dyDescent="0.25">
      <c r="B142" s="56">
        <v>45025</v>
      </c>
      <c r="D142" s="4">
        <v>8426.2199999999993</v>
      </c>
      <c r="E142" s="13">
        <f t="shared" si="20"/>
        <v>35</v>
      </c>
      <c r="F142" s="4">
        <f t="shared" si="18"/>
        <v>7.9408571428571255</v>
      </c>
      <c r="G142" s="4"/>
      <c r="H142" s="4"/>
      <c r="I142" s="4"/>
      <c r="J142" s="4"/>
      <c r="K142" s="4"/>
      <c r="L142" s="4"/>
      <c r="M142" s="4"/>
      <c r="N142" s="4">
        <f t="shared" si="19"/>
        <v>277.92999999999938</v>
      </c>
      <c r="O142" s="4">
        <f>B142-B133</f>
        <v>368</v>
      </c>
      <c r="P142" s="4">
        <f>D142-D133</f>
        <v>1685.2199999999993</v>
      </c>
    </row>
    <row r="143" spans="2:16" ht="12" customHeight="1" x14ac:dyDescent="0.25">
      <c r="B143" s="56">
        <v>45047</v>
      </c>
      <c r="D143" s="1">
        <v>8517.94</v>
      </c>
      <c r="E143" s="13">
        <f t="shared" si="20"/>
        <v>22</v>
      </c>
      <c r="F143" s="4">
        <f t="shared" si="18"/>
        <v>4.1690909090909622</v>
      </c>
      <c r="G143" s="4"/>
      <c r="H143" s="4"/>
      <c r="I143" s="4"/>
      <c r="J143" s="4"/>
      <c r="K143" s="4"/>
      <c r="L143" s="4"/>
      <c r="M143" s="4"/>
      <c r="N143" s="4">
        <f t="shared" si="19"/>
        <v>91.720000000001164</v>
      </c>
      <c r="O143" s="4">
        <f>B143-B134</f>
        <v>331</v>
      </c>
      <c r="P143" s="4">
        <f>D143-D134</f>
        <v>1693.5800000000008</v>
      </c>
    </row>
    <row r="144" spans="2:16" ht="12" customHeight="1" x14ac:dyDescent="0.25">
      <c r="B144" s="56">
        <v>45082</v>
      </c>
      <c r="D144" s="4">
        <v>8629.6299999999992</v>
      </c>
      <c r="E144" s="13">
        <f t="shared" si="20"/>
        <v>34</v>
      </c>
      <c r="F144" s="4">
        <f t="shared" si="18"/>
        <v>3.2849999999999615</v>
      </c>
      <c r="G144" s="4"/>
      <c r="H144" s="4"/>
      <c r="I144" s="4"/>
      <c r="J144" s="4"/>
      <c r="K144" s="4"/>
      <c r="L144" s="4"/>
      <c r="M144" s="4"/>
      <c r="N144" s="4">
        <f t="shared" si="19"/>
        <v>111.68999999999869</v>
      </c>
      <c r="O144" s="4">
        <f t="shared" ref="O144:O150" si="21">B144-B134</f>
        <v>366</v>
      </c>
      <c r="P144" s="4">
        <f t="shared" ref="P144:P150" si="22">D144-D134</f>
        <v>1805.2699999999995</v>
      </c>
    </row>
    <row r="145" spans="2:16" ht="12" customHeight="1" x14ac:dyDescent="0.25">
      <c r="B145" s="56">
        <v>45099</v>
      </c>
      <c r="D145" s="4">
        <v>8659.2099999999991</v>
      </c>
      <c r="E145" s="13">
        <f t="shared" si="20"/>
        <v>17</v>
      </c>
      <c r="F145" s="4">
        <f t="shared" si="18"/>
        <v>1.7399999999999958</v>
      </c>
      <c r="G145" s="4"/>
      <c r="H145" s="4"/>
      <c r="I145" s="4"/>
      <c r="J145" s="4"/>
      <c r="K145" s="4"/>
      <c r="L145" s="4"/>
      <c r="M145" s="4"/>
      <c r="N145" s="4">
        <f t="shared" si="19"/>
        <v>29.579999999999927</v>
      </c>
      <c r="O145" s="4">
        <f t="shared" si="21"/>
        <v>347</v>
      </c>
      <c r="P145" s="4">
        <f t="shared" si="22"/>
        <v>1783.3599999999988</v>
      </c>
    </row>
    <row r="146" spans="2:16" ht="12" customHeight="1" x14ac:dyDescent="0.25">
      <c r="B146" s="56">
        <v>45122</v>
      </c>
      <c r="D146" s="4">
        <v>8684.2900000000009</v>
      </c>
      <c r="E146" s="13">
        <f t="shared" si="20"/>
        <v>23</v>
      </c>
      <c r="F146" s="4">
        <f t="shared" si="18"/>
        <v>1.0904347826087715</v>
      </c>
      <c r="G146" s="4"/>
      <c r="H146" s="4"/>
      <c r="I146" s="4"/>
      <c r="J146" s="4"/>
      <c r="K146" s="4"/>
      <c r="L146" s="4"/>
      <c r="M146" s="4"/>
      <c r="N146" s="4">
        <f t="shared" si="19"/>
        <v>25.080000000001746</v>
      </c>
      <c r="O146" s="4">
        <f t="shared" si="21"/>
        <v>356</v>
      </c>
      <c r="P146" s="4">
        <f t="shared" si="22"/>
        <v>1794.0800000000008</v>
      </c>
    </row>
    <row r="147" spans="2:16" ht="12" customHeight="1" x14ac:dyDescent="0.25">
      <c r="B147" s="56">
        <v>45146</v>
      </c>
      <c r="D147" s="4">
        <v>8706.9699999999993</v>
      </c>
      <c r="E147" s="13">
        <f t="shared" si="20"/>
        <v>23</v>
      </c>
      <c r="F147" s="4">
        <f t="shared" si="18"/>
        <v>0.98608695652167266</v>
      </c>
      <c r="G147" s="4"/>
      <c r="H147" s="4"/>
      <c r="I147" s="4"/>
      <c r="J147" s="4"/>
      <c r="K147" s="4"/>
      <c r="L147" s="4"/>
      <c r="M147" s="4"/>
      <c r="N147" s="4">
        <f t="shared" si="19"/>
        <v>22.679999999998472</v>
      </c>
      <c r="O147" s="4">
        <f t="shared" si="21"/>
        <v>353</v>
      </c>
      <c r="P147" s="4">
        <f t="shared" si="22"/>
        <v>1790.6499999999996</v>
      </c>
    </row>
    <row r="148" spans="2:16" ht="12" customHeight="1" x14ac:dyDescent="0.25">
      <c r="B148" s="56">
        <v>45179</v>
      </c>
      <c r="D148" s="4">
        <v>8743.17</v>
      </c>
      <c r="E148" s="13">
        <f t="shared" si="20"/>
        <v>32</v>
      </c>
      <c r="F148" s="4">
        <f t="shared" si="18"/>
        <v>1.1312500000000227</v>
      </c>
      <c r="G148" s="4"/>
      <c r="H148" s="4"/>
      <c r="I148" s="4"/>
      <c r="J148" s="4"/>
      <c r="K148" s="4"/>
      <c r="L148" s="4"/>
      <c r="M148" s="4"/>
      <c r="N148" s="4">
        <f t="shared" si="19"/>
        <v>36.200000000000728</v>
      </c>
      <c r="O148" s="4">
        <f t="shared" si="21"/>
        <v>352</v>
      </c>
      <c r="P148" s="4">
        <f t="shared" si="22"/>
        <v>1751.29</v>
      </c>
    </row>
    <row r="149" spans="2:16" ht="12" customHeight="1" x14ac:dyDescent="0.25">
      <c r="B149" s="56">
        <v>45234</v>
      </c>
      <c r="D149" s="4">
        <v>9075.84</v>
      </c>
      <c r="E149" s="13">
        <f t="shared" si="20"/>
        <v>54</v>
      </c>
      <c r="F149" s="4">
        <f t="shared" si="18"/>
        <v>6.1605555555555567</v>
      </c>
      <c r="G149" s="4"/>
      <c r="H149" s="4"/>
      <c r="I149" s="4"/>
      <c r="J149" s="4"/>
      <c r="K149" s="4"/>
      <c r="L149" s="4"/>
      <c r="M149" s="4"/>
      <c r="N149" s="4">
        <f t="shared" si="19"/>
        <v>332.67000000000007</v>
      </c>
      <c r="O149" s="4">
        <f t="shared" si="21"/>
        <v>382</v>
      </c>
      <c r="P149" s="4">
        <f t="shared" si="22"/>
        <v>1963.8199999999997</v>
      </c>
    </row>
    <row r="150" spans="2:16" ht="12" customHeight="1" x14ac:dyDescent="0.25">
      <c r="B150" s="56">
        <v>45259</v>
      </c>
      <c r="D150" s="4">
        <v>9217.2900000000009</v>
      </c>
      <c r="E150" s="13">
        <f t="shared" si="20"/>
        <v>25</v>
      </c>
      <c r="F150" s="4">
        <f t="shared" si="18"/>
        <v>5.6580000000000288</v>
      </c>
      <c r="G150" s="4"/>
      <c r="H150" s="4"/>
      <c r="I150" s="4"/>
      <c r="J150" s="4"/>
      <c r="K150" s="4"/>
      <c r="L150" s="4"/>
      <c r="M150" s="4"/>
      <c r="N150" s="4">
        <f t="shared" si="19"/>
        <v>141.45000000000073</v>
      </c>
      <c r="O150" s="4">
        <f t="shared" si="21"/>
        <v>328</v>
      </c>
      <c r="P150" s="4">
        <f t="shared" si="22"/>
        <v>1536.0400000000009</v>
      </c>
    </row>
    <row r="151" spans="2:16" ht="12" customHeight="1" x14ac:dyDescent="0.25">
      <c r="B151" s="56">
        <v>45289</v>
      </c>
      <c r="D151" s="4">
        <v>9614.07</v>
      </c>
      <c r="E151" s="13">
        <f t="shared" si="20"/>
        <v>30</v>
      </c>
      <c r="F151" s="4">
        <f t="shared" si="18"/>
        <v>13.225999999999962</v>
      </c>
      <c r="G151" s="4"/>
      <c r="H151" s="4"/>
      <c r="I151" s="4"/>
      <c r="J151" s="4"/>
      <c r="K151" s="4"/>
      <c r="L151" s="4"/>
      <c r="M151" s="4"/>
      <c r="N151" s="4">
        <f t="shared" si="19"/>
        <v>396.77999999999884</v>
      </c>
      <c r="O151" s="4">
        <f>B151-B140</f>
        <v>358</v>
      </c>
      <c r="P151" s="4">
        <f>D151-D140</f>
        <v>1932.8199999999997</v>
      </c>
    </row>
    <row r="152" spans="2:16" ht="12" customHeight="1" x14ac:dyDescent="0.25">
      <c r="B152" s="5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 ht="12" customHeight="1" x14ac:dyDescent="0.25">
      <c r="B153" s="5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 ht="12" customHeight="1" x14ac:dyDescent="0.25">
      <c r="B154" s="5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zoomScale="90" zoomScaleNormal="90" workbookViewId="0">
      <selection activeCell="P8" sqref="P8:P15"/>
    </sheetView>
  </sheetViews>
  <sheetFormatPr defaultColWidth="14.44140625" defaultRowHeight="13.2" x14ac:dyDescent="0.25"/>
  <cols>
    <col min="1" max="1" width="8.6640625" style="1" customWidth="1"/>
    <col min="2" max="2" width="23.44140625" style="1" customWidth="1"/>
    <col min="3" max="3" width="6.5546875" style="1" customWidth="1"/>
    <col min="4" max="4" width="10.33203125" style="1" customWidth="1"/>
    <col min="5" max="15" width="9.33203125" style="1" customWidth="1"/>
    <col min="16" max="18" width="10.5546875" style="1" customWidth="1"/>
    <col min="19" max="19" width="8.6640625" style="1" customWidth="1"/>
    <col min="20" max="20" width="11.5546875" style="1" customWidth="1"/>
    <col min="21" max="25" width="8.6640625" style="1" customWidth="1"/>
    <col min="26" max="26" width="14.6640625" style="1" customWidth="1"/>
    <col min="27" max="28" width="8.6640625" style="1" customWidth="1"/>
    <col min="29" max="16384" width="14.44140625" style="1"/>
  </cols>
  <sheetData>
    <row r="1" spans="1:28" ht="18" customHeight="1" x14ac:dyDescent="0.3">
      <c r="A1" s="2" t="s">
        <v>0</v>
      </c>
      <c r="D1" s="3">
        <v>2022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5"/>
      <c r="S1" s="6"/>
      <c r="T1" s="7"/>
    </row>
    <row r="2" spans="1:28" ht="11.25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5"/>
      <c r="S2" s="9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11</v>
      </c>
      <c r="L3" s="11" t="s">
        <v>5</v>
      </c>
      <c r="M3" s="4"/>
      <c r="N3" s="4"/>
      <c r="O3" s="4"/>
      <c r="P3" s="4"/>
      <c r="Q3" s="8"/>
      <c r="R3" s="60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(SUM(I9:K9)-SUM(I10:K10))/92</f>
        <v>9.6173913043478247</v>
      </c>
      <c r="L4" s="11" t="s">
        <v>5</v>
      </c>
      <c r="M4" s="11"/>
      <c r="N4" s="11"/>
      <c r="O4" s="11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customHeight="1" x14ac:dyDescent="0.25">
      <c r="A7" s="19"/>
      <c r="B7" s="20"/>
      <c r="C7" s="21"/>
      <c r="D7" s="22">
        <v>31</v>
      </c>
      <c r="E7" s="22">
        <v>28</v>
      </c>
      <c r="F7" s="22">
        <v>31</v>
      </c>
      <c r="G7" s="22">
        <v>30</v>
      </c>
      <c r="H7" s="22">
        <v>31</v>
      </c>
      <c r="I7" s="22">
        <v>30</v>
      </c>
      <c r="J7" s="22">
        <v>31</v>
      </c>
      <c r="K7" s="22">
        <v>31</v>
      </c>
      <c r="L7" s="22">
        <v>30</v>
      </c>
      <c r="M7" s="22">
        <v>31</v>
      </c>
      <c r="N7" s="22">
        <v>30</v>
      </c>
      <c r="O7" s="22">
        <v>31</v>
      </c>
      <c r="P7" s="23">
        <f>SUM(D7:O7)</f>
        <v>365</v>
      </c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2.75" customHeight="1" x14ac:dyDescent="0.25">
      <c r="A8" s="25">
        <v>2022</v>
      </c>
      <c r="B8" s="26" t="s">
        <v>23</v>
      </c>
      <c r="C8" s="30" t="s">
        <v>65</v>
      </c>
      <c r="D8" s="28">
        <v>-5.6</v>
      </c>
      <c r="E8" s="28">
        <v>-3.6</v>
      </c>
      <c r="F8" s="28">
        <v>-1.2</v>
      </c>
      <c r="G8" s="28">
        <v>2.6</v>
      </c>
      <c r="H8" s="28">
        <v>9.1</v>
      </c>
      <c r="I8" s="28">
        <v>16.3</v>
      </c>
      <c r="J8" s="28">
        <v>18.100000000000001</v>
      </c>
      <c r="K8" s="28">
        <v>18.600000000000001</v>
      </c>
      <c r="L8" s="28">
        <v>9.1</v>
      </c>
      <c r="M8" s="28">
        <v>6.3</v>
      </c>
      <c r="N8" s="28">
        <v>0.5</v>
      </c>
      <c r="O8" s="28">
        <v>-4.2</v>
      </c>
      <c r="P8" s="28">
        <f>AVERAGE(D8:O8)</f>
        <v>5.5</v>
      </c>
      <c r="T8" s="29"/>
      <c r="U8" s="8"/>
      <c r="Z8" s="83"/>
      <c r="AA8" s="83"/>
    </row>
    <row r="9" spans="1:28" ht="12" customHeight="1" x14ac:dyDescent="0.25">
      <c r="A9" s="25">
        <v>2022</v>
      </c>
      <c r="B9" s="26" t="s">
        <v>25</v>
      </c>
      <c r="C9" s="30" t="s">
        <v>26</v>
      </c>
      <c r="D9" s="31">
        <v>1460.36</v>
      </c>
      <c r="E9" s="31">
        <v>1107.8800000000001</v>
      </c>
      <c r="F9" s="32">
        <v>1084.04</v>
      </c>
      <c r="G9" s="32">
        <v>757.78</v>
      </c>
      <c r="H9" s="32">
        <v>490.43</v>
      </c>
      <c r="I9" s="32">
        <v>346.44</v>
      </c>
      <c r="J9" s="32">
        <v>332.2</v>
      </c>
      <c r="K9" s="32">
        <v>281.16000000000003</v>
      </c>
      <c r="L9" s="32">
        <v>478.08</v>
      </c>
      <c r="M9" s="32">
        <v>613.66999999999996</v>
      </c>
      <c r="N9" s="32">
        <v>863.13</v>
      </c>
      <c r="O9" s="32">
        <v>1289.0899999999999</v>
      </c>
      <c r="P9" s="33">
        <f>SUM(D9:O9)</f>
        <v>9104.2599999999984</v>
      </c>
      <c r="Q9" s="34"/>
      <c r="R9" s="34"/>
      <c r="S9" s="35"/>
      <c r="T9" s="36"/>
      <c r="U9" s="34"/>
      <c r="Z9" s="37"/>
      <c r="AB9" s="37"/>
    </row>
    <row r="10" spans="1:28" ht="12" customHeight="1" x14ac:dyDescent="0.25">
      <c r="A10" s="25">
        <v>2022</v>
      </c>
      <c r="B10" s="26" t="s">
        <v>28</v>
      </c>
      <c r="C10" s="30" t="s">
        <v>26</v>
      </c>
      <c r="D10" s="43">
        <v>160</v>
      </c>
      <c r="E10" s="43">
        <v>200</v>
      </c>
      <c r="F10" s="43">
        <v>310</v>
      </c>
      <c r="G10" s="43">
        <v>160</v>
      </c>
      <c r="H10" s="43">
        <v>80</v>
      </c>
      <c r="I10" s="39">
        <v>30</v>
      </c>
      <c r="J10" s="39">
        <v>20</v>
      </c>
      <c r="K10" s="39">
        <v>25</v>
      </c>
      <c r="L10" s="43">
        <v>140</v>
      </c>
      <c r="M10" s="43">
        <v>200</v>
      </c>
      <c r="N10" s="43">
        <v>250</v>
      </c>
      <c r="O10" s="43">
        <v>200</v>
      </c>
      <c r="P10" s="43">
        <f>SUM(D10:O10)</f>
        <v>1775</v>
      </c>
      <c r="Q10" s="34"/>
      <c r="R10" s="34"/>
      <c r="T10" s="36">
        <f>P10+'2021'!T10</f>
        <v>28150.230811381905</v>
      </c>
      <c r="U10" s="34"/>
      <c r="V10" s="35"/>
    </row>
    <row r="11" spans="1:28" ht="12" customHeight="1" x14ac:dyDescent="0.25">
      <c r="A11" s="25">
        <v>2022</v>
      </c>
      <c r="B11" s="40" t="s">
        <v>29</v>
      </c>
      <c r="C11" s="30" t="s">
        <v>66</v>
      </c>
      <c r="D11" s="32">
        <v>700</v>
      </c>
      <c r="E11" s="32">
        <v>576</v>
      </c>
      <c r="F11" s="32">
        <v>565</v>
      </c>
      <c r="G11" s="32">
        <v>431</v>
      </c>
      <c r="H11" s="32">
        <v>169</v>
      </c>
      <c r="I11" s="32">
        <v>0</v>
      </c>
      <c r="J11" s="32">
        <v>0</v>
      </c>
      <c r="K11" s="32">
        <v>7</v>
      </c>
      <c r="L11" s="32">
        <v>236</v>
      </c>
      <c r="M11" s="32">
        <v>331</v>
      </c>
      <c r="N11" s="32">
        <v>495</v>
      </c>
      <c r="O11" s="32">
        <v>635</v>
      </c>
      <c r="P11" s="32">
        <f>SUM(D11:O11)</f>
        <v>4145</v>
      </c>
      <c r="Q11" s="42"/>
      <c r="R11" s="34"/>
      <c r="S11" s="35"/>
      <c r="T11" s="34"/>
      <c r="U11" s="34"/>
      <c r="V11" s="35"/>
    </row>
    <row r="12" spans="1:28" ht="12" customHeight="1" x14ac:dyDescent="0.25">
      <c r="A12" s="25">
        <v>2022</v>
      </c>
      <c r="B12" s="40" t="s">
        <v>31</v>
      </c>
      <c r="C12" s="30" t="s">
        <v>66</v>
      </c>
      <c r="D12" s="32">
        <v>759</v>
      </c>
      <c r="E12" s="32">
        <v>699</v>
      </c>
      <c r="F12" s="32">
        <v>621</v>
      </c>
      <c r="G12" s="32">
        <v>403</v>
      </c>
      <c r="H12" s="32">
        <v>165</v>
      </c>
      <c r="I12" s="32">
        <v>22</v>
      </c>
      <c r="J12" s="32">
        <v>5</v>
      </c>
      <c r="K12" s="32">
        <v>28</v>
      </c>
      <c r="L12" s="32">
        <v>184</v>
      </c>
      <c r="M12" s="32">
        <v>386</v>
      </c>
      <c r="N12" s="32">
        <v>546</v>
      </c>
      <c r="O12" s="32">
        <v>692</v>
      </c>
      <c r="P12" s="32">
        <v>4510</v>
      </c>
      <c r="R12" s="42"/>
      <c r="T12" s="36"/>
      <c r="U12" s="34"/>
      <c r="V12" s="34"/>
    </row>
    <row r="13" spans="1:28" ht="12" customHeight="1" x14ac:dyDescent="0.25">
      <c r="A13" s="25">
        <v>2022</v>
      </c>
      <c r="B13" s="26" t="s">
        <v>32</v>
      </c>
      <c r="C13" s="30" t="s">
        <v>26</v>
      </c>
      <c r="D13" s="32">
        <f t="shared" ref="D13:O13" si="0">$K$3*D7</f>
        <v>341</v>
      </c>
      <c r="E13" s="32">
        <f t="shared" si="0"/>
        <v>308</v>
      </c>
      <c r="F13" s="32">
        <f t="shared" si="0"/>
        <v>341</v>
      </c>
      <c r="G13" s="32">
        <f t="shared" si="0"/>
        <v>330</v>
      </c>
      <c r="H13" s="32">
        <f t="shared" si="0"/>
        <v>341</v>
      </c>
      <c r="I13" s="32">
        <f t="shared" si="0"/>
        <v>330</v>
      </c>
      <c r="J13" s="32">
        <f t="shared" si="0"/>
        <v>341</v>
      </c>
      <c r="K13" s="32">
        <f t="shared" si="0"/>
        <v>341</v>
      </c>
      <c r="L13" s="32">
        <f t="shared" si="0"/>
        <v>330</v>
      </c>
      <c r="M13" s="32">
        <f t="shared" si="0"/>
        <v>341</v>
      </c>
      <c r="N13" s="32">
        <f t="shared" si="0"/>
        <v>330</v>
      </c>
      <c r="O13" s="32">
        <f t="shared" si="0"/>
        <v>341</v>
      </c>
      <c r="P13" s="32">
        <f>SUM(D13:O13)</f>
        <v>4015</v>
      </c>
      <c r="T13" s="36">
        <f>P12-P11</f>
        <v>365</v>
      </c>
      <c r="U13" s="34"/>
    </row>
    <row r="14" spans="1:28" ht="12" customHeight="1" x14ac:dyDescent="0.25">
      <c r="A14" s="25">
        <v>2022</v>
      </c>
      <c r="B14" s="26" t="s">
        <v>33</v>
      </c>
      <c r="C14" s="30" t="s">
        <v>26</v>
      </c>
      <c r="D14" s="32">
        <f>D9-D13</f>
        <v>1119.3599999999999</v>
      </c>
      <c r="E14" s="32">
        <f>E9-E13</f>
        <v>799.88000000000011</v>
      </c>
      <c r="F14" s="32">
        <f>F9-F13</f>
        <v>743.04</v>
      </c>
      <c r="G14" s="32">
        <f>G9-G13</f>
        <v>427.78</v>
      </c>
      <c r="H14" s="32">
        <f>H9-H13</f>
        <v>149.43</v>
      </c>
      <c r="I14" s="43">
        <v>0</v>
      </c>
      <c r="J14" s="43">
        <f>J10</f>
        <v>20</v>
      </c>
      <c r="K14" s="43">
        <f>K10</f>
        <v>25</v>
      </c>
      <c r="L14" s="32">
        <f>L9-L13</f>
        <v>148.07999999999998</v>
      </c>
      <c r="M14" s="32">
        <f>M9-M13</f>
        <v>272.66999999999996</v>
      </c>
      <c r="N14" s="32">
        <f>N9-N13</f>
        <v>533.13</v>
      </c>
      <c r="O14" s="32">
        <f>O9-O13</f>
        <v>948.08999999999992</v>
      </c>
      <c r="P14" s="32">
        <f>SUM(D14:O14)</f>
        <v>5186.4599999999991</v>
      </c>
      <c r="R14" s="35"/>
      <c r="T14" s="36"/>
      <c r="U14" s="34"/>
    </row>
    <row r="15" spans="1:28" ht="12" customHeight="1" x14ac:dyDescent="0.25">
      <c r="A15" s="25">
        <v>2022</v>
      </c>
      <c r="B15" s="26" t="s">
        <v>34</v>
      </c>
      <c r="C15" s="30" t="s">
        <v>26</v>
      </c>
      <c r="D15" s="32">
        <f>IF(D14&lt;0,0,((D12/D11))*D14)</f>
        <v>1213.7060571428569</v>
      </c>
      <c r="E15" s="32">
        <f>IF(E14&lt;0,0,((E12/E11))*E14)</f>
        <v>970.68770833333349</v>
      </c>
      <c r="F15" s="32">
        <f>IF(F14&lt;0,0,((F12/F11))*F14)</f>
        <v>816.6864424778762</v>
      </c>
      <c r="G15" s="32">
        <f>IF(G14&lt;0,0,((G12/G11))*G14)</f>
        <v>399.98918793503475</v>
      </c>
      <c r="H15" s="32">
        <f>IF(H14&lt;0,0,((H12/H11))*H14)</f>
        <v>145.89319526627219</v>
      </c>
      <c r="I15" s="32">
        <f>I14</f>
        <v>0</v>
      </c>
      <c r="J15" s="32">
        <f>J14</f>
        <v>20</v>
      </c>
      <c r="K15" s="32">
        <f>K14</f>
        <v>25</v>
      </c>
      <c r="L15" s="32">
        <f>IF(L14&lt;0,0,((L12/L11))*L14)</f>
        <v>115.4522033898305</v>
      </c>
      <c r="M15" s="32">
        <f>IF(M14&lt;0,0,((M12/M11))*M14)</f>
        <v>317.97770392749243</v>
      </c>
      <c r="N15" s="32">
        <f>IF(N14&lt;0,0,((N12/N11))*N14)</f>
        <v>588.05854545454542</v>
      </c>
      <c r="O15" s="32">
        <f>IF(O14&lt;0,0,((O12/O11))*O14)</f>
        <v>1033.1941417322832</v>
      </c>
      <c r="P15" s="33">
        <f>SUM(D15:O15)</f>
        <v>5646.6451856595249</v>
      </c>
      <c r="Q15" s="44"/>
      <c r="R15" s="45">
        <f>P14-P10</f>
        <v>3411.4599999999991</v>
      </c>
      <c r="T15" s="46">
        <f>T13/P12</f>
        <v>8.0931263858093128E-2</v>
      </c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1">D9/D7</f>
        <v>47.108387096774187</v>
      </c>
      <c r="E18" s="4">
        <f t="shared" si="1"/>
        <v>39.567142857142862</v>
      </c>
      <c r="F18" s="4">
        <f t="shared" si="1"/>
        <v>34.969032258064516</v>
      </c>
      <c r="G18" s="4">
        <f t="shared" si="1"/>
        <v>25.259333333333334</v>
      </c>
      <c r="H18" s="4">
        <f t="shared" si="1"/>
        <v>15.820322580645161</v>
      </c>
      <c r="I18" s="4">
        <f t="shared" si="1"/>
        <v>11.548</v>
      </c>
      <c r="J18" s="4">
        <f t="shared" si="1"/>
        <v>10.716129032258063</v>
      </c>
      <c r="K18" s="4">
        <f t="shared" si="1"/>
        <v>9.0696774193548393</v>
      </c>
      <c r="L18" s="4">
        <f t="shared" si="1"/>
        <v>15.936</v>
      </c>
      <c r="M18" s="4">
        <f t="shared" si="1"/>
        <v>19.795806451612901</v>
      </c>
      <c r="N18" s="4">
        <f t="shared" si="1"/>
        <v>28.771000000000001</v>
      </c>
      <c r="O18" s="4">
        <f t="shared" si="1"/>
        <v>41.583548387096769</v>
      </c>
      <c r="P18" s="4"/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1460.36</v>
      </c>
      <c r="E19" s="4">
        <f>SUM($D$9:E9)</f>
        <v>2568.2399999999998</v>
      </c>
      <c r="F19" s="4">
        <f>SUM($D$9:F9)</f>
        <v>3652.2799999999997</v>
      </c>
      <c r="G19" s="4">
        <f>SUM($D$9:G9)</f>
        <v>4410.0599999999995</v>
      </c>
      <c r="H19" s="4">
        <f>SUM($D$9:H9)</f>
        <v>4900.49</v>
      </c>
      <c r="I19" s="4">
        <f>SUM($D$9:I9)</f>
        <v>5246.9299999999994</v>
      </c>
      <c r="J19" s="4">
        <f>SUM($D$9:J9)</f>
        <v>5579.1299999999992</v>
      </c>
      <c r="K19" s="4">
        <f>SUM($D$9:K9)</f>
        <v>5860.2899999999991</v>
      </c>
      <c r="L19" s="4">
        <f>SUM($D$9:L9)</f>
        <v>6338.369999999999</v>
      </c>
      <c r="M19" s="4">
        <f>SUM($D$9:M9)</f>
        <v>6952.0399999999991</v>
      </c>
      <c r="N19" s="4">
        <f>SUM($D$9:N9)</f>
        <v>7815.1699999999992</v>
      </c>
      <c r="O19" s="4">
        <f>SUM($D$9:O9)</f>
        <v>9104.2599999999984</v>
      </c>
      <c r="P19" s="4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160</v>
      </c>
      <c r="E20" s="4">
        <f>SUM($D$10:E10)</f>
        <v>360</v>
      </c>
      <c r="F20" s="4">
        <f>SUM($D$10:F10)</f>
        <v>670</v>
      </c>
      <c r="G20" s="4">
        <f>SUM($D$10:G10)</f>
        <v>830</v>
      </c>
      <c r="H20" s="4">
        <f>SUM($D$10:H10)</f>
        <v>910</v>
      </c>
      <c r="I20" s="4">
        <f>SUM($D$10:I10)</f>
        <v>940</v>
      </c>
      <c r="J20" s="4">
        <f>SUM($D$10:J10)</f>
        <v>960</v>
      </c>
      <c r="K20" s="4">
        <f>SUM($D$10:K10)</f>
        <v>985</v>
      </c>
      <c r="L20" s="4">
        <f>SUM($D$10:L10)</f>
        <v>1125</v>
      </c>
      <c r="M20" s="4">
        <f>SUM($D$10:M10)</f>
        <v>1325</v>
      </c>
      <c r="N20" s="4">
        <f>SUM($D$10:N10)</f>
        <v>1575</v>
      </c>
      <c r="O20" s="4">
        <f>SUM($D$10:O10)</f>
        <v>1775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1119.3599999999999</v>
      </c>
      <c r="E21" s="4">
        <f>SUM($D$14:E14)</f>
        <v>1919.24</v>
      </c>
      <c r="F21" s="4">
        <f>SUM($D$14:F14)</f>
        <v>2662.2799999999997</v>
      </c>
      <c r="G21" s="4">
        <f>SUM($D$14:G14)</f>
        <v>3090.0599999999995</v>
      </c>
      <c r="H21" s="4">
        <f>SUM($D$14:H14)</f>
        <v>3239.4899999999993</v>
      </c>
      <c r="I21" s="4">
        <f>SUM($D$14:I14)</f>
        <v>3239.4899999999993</v>
      </c>
      <c r="J21" s="4">
        <f>SUM($D$14:J14)</f>
        <v>3259.4899999999993</v>
      </c>
      <c r="K21" s="4">
        <f>SUM($D$14:K14)</f>
        <v>3284.4899999999993</v>
      </c>
      <c r="L21" s="4">
        <f>SUM($D$14:L14)</f>
        <v>3432.5699999999993</v>
      </c>
      <c r="M21" s="4">
        <f>SUM($D$14:M14)</f>
        <v>3705.2399999999993</v>
      </c>
      <c r="N21" s="4">
        <f>SUM($D$14:N14)</f>
        <v>4238.369999999999</v>
      </c>
      <c r="O21" s="4">
        <f>SUM($D$14:O14)</f>
        <v>5186.4599999999991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2">D14/D9</f>
        <v>0.76649593250979209</v>
      </c>
      <c r="E24" s="51">
        <f t="shared" si="2"/>
        <v>0.72199155143156302</v>
      </c>
      <c r="F24" s="51">
        <f t="shared" si="2"/>
        <v>0.68543596177262833</v>
      </c>
      <c r="G24" s="51">
        <f t="shared" si="2"/>
        <v>0.56451740610731349</v>
      </c>
      <c r="H24" s="51">
        <f t="shared" si="2"/>
        <v>0.30469180107252819</v>
      </c>
      <c r="I24" s="51">
        <f t="shared" si="2"/>
        <v>0</v>
      </c>
      <c r="J24" s="51">
        <f t="shared" si="2"/>
        <v>6.0204695966285374E-2</v>
      </c>
      <c r="K24" s="51">
        <f t="shared" si="2"/>
        <v>8.8917342438469188E-2</v>
      </c>
      <c r="L24" s="51">
        <f t="shared" si="2"/>
        <v>0.30973895582329314</v>
      </c>
      <c r="M24" s="51">
        <f t="shared" si="2"/>
        <v>0.44432675542229533</v>
      </c>
      <c r="N24" s="51">
        <f t="shared" si="2"/>
        <v>0.61767057106113799</v>
      </c>
      <c r="O24" s="51">
        <f t="shared" si="2"/>
        <v>0.73547230992405499</v>
      </c>
      <c r="P24" s="51">
        <f t="shared" si="2"/>
        <v>0.56967397679767495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3">D14/D11</f>
        <v>1.5990857142857142</v>
      </c>
      <c r="E25" s="4">
        <f t="shared" si="3"/>
        <v>1.3886805555555557</v>
      </c>
      <c r="F25" s="4">
        <f t="shared" si="3"/>
        <v>1.3151150442477875</v>
      </c>
      <c r="G25" s="4">
        <f t="shared" si="3"/>
        <v>0.99252900232018559</v>
      </c>
      <c r="H25" s="4">
        <f t="shared" si="3"/>
        <v>0.88420118343195275</v>
      </c>
      <c r="I25" s="4" t="e">
        <f t="shared" si="3"/>
        <v>#DIV/0!</v>
      </c>
      <c r="J25" s="4" t="e">
        <f t="shared" si="3"/>
        <v>#DIV/0!</v>
      </c>
      <c r="K25" s="4">
        <f t="shared" si="3"/>
        <v>3.5714285714285716</v>
      </c>
      <c r="L25" s="4">
        <f t="shared" si="3"/>
        <v>0.62745762711864395</v>
      </c>
      <c r="M25" s="4">
        <f t="shared" si="3"/>
        <v>0.82377643504531706</v>
      </c>
      <c r="N25" s="4">
        <f t="shared" si="3"/>
        <v>1.077030303030303</v>
      </c>
      <c r="O25" s="4">
        <f t="shared" si="3"/>
        <v>1.4930551181102361</v>
      </c>
      <c r="P25" s="4">
        <f t="shared" si="3"/>
        <v>1.251256936067551</v>
      </c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 t="shared" ref="D26:P26" si="4">D14/D7</f>
        <v>36.108387096774187</v>
      </c>
      <c r="E26" s="4">
        <f t="shared" si="4"/>
        <v>28.567142857142862</v>
      </c>
      <c r="F26" s="4">
        <f t="shared" si="4"/>
        <v>23.969032258064516</v>
      </c>
      <c r="G26" s="4">
        <f t="shared" si="4"/>
        <v>14.259333333333332</v>
      </c>
      <c r="H26" s="4">
        <f t="shared" si="4"/>
        <v>4.8203225806451613</v>
      </c>
      <c r="I26" s="4">
        <f t="shared" si="4"/>
        <v>0</v>
      </c>
      <c r="J26" s="4">
        <f t="shared" si="4"/>
        <v>0.64516129032258063</v>
      </c>
      <c r="K26" s="4">
        <f t="shared" si="4"/>
        <v>0.80645161290322576</v>
      </c>
      <c r="L26" s="4">
        <f t="shared" si="4"/>
        <v>4.9359999999999991</v>
      </c>
      <c r="M26" s="4">
        <f t="shared" si="4"/>
        <v>8.7958064516129024</v>
      </c>
      <c r="N26" s="4">
        <f t="shared" si="4"/>
        <v>17.771000000000001</v>
      </c>
      <c r="O26" s="4">
        <f t="shared" si="4"/>
        <v>30.583548387096773</v>
      </c>
      <c r="P26" s="4">
        <f t="shared" si="4"/>
        <v>14.209479452054792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 t="shared" ref="D27:P27" si="5">D15/D7</f>
        <v>39.151808294930866</v>
      </c>
      <c r="E27" s="4">
        <f t="shared" si="5"/>
        <v>34.667418154761911</v>
      </c>
      <c r="F27" s="4">
        <f t="shared" si="5"/>
        <v>26.344723950899233</v>
      </c>
      <c r="G27" s="4">
        <f t="shared" si="5"/>
        <v>13.332972931167825</v>
      </c>
      <c r="H27" s="4">
        <f t="shared" si="5"/>
        <v>4.7062321053636191</v>
      </c>
      <c r="I27" s="4">
        <f t="shared" si="5"/>
        <v>0</v>
      </c>
      <c r="J27" s="4">
        <f t="shared" si="5"/>
        <v>0.64516129032258063</v>
      </c>
      <c r="K27" s="4">
        <f t="shared" si="5"/>
        <v>0.80645161290322576</v>
      </c>
      <c r="L27" s="4">
        <f t="shared" si="5"/>
        <v>3.8484067796610169</v>
      </c>
      <c r="M27" s="4">
        <f t="shared" si="5"/>
        <v>10.257345287983627</v>
      </c>
      <c r="N27" s="4">
        <f t="shared" si="5"/>
        <v>19.601951515151516</v>
      </c>
      <c r="O27" s="4">
        <f t="shared" si="5"/>
        <v>33.328843281686559</v>
      </c>
      <c r="P27" s="4">
        <f t="shared" si="5"/>
        <v>15.470260782628836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 t="shared" ref="D28:P28" si="6">D14/$F$4</f>
        <v>4.038095238095238</v>
      </c>
      <c r="E28" s="4">
        <f t="shared" si="6"/>
        <v>2.8855699855699859</v>
      </c>
      <c r="F28" s="4">
        <f t="shared" si="6"/>
        <v>2.6805194805194805</v>
      </c>
      <c r="G28" s="4">
        <f t="shared" si="6"/>
        <v>1.5432178932178933</v>
      </c>
      <c r="H28" s="4">
        <f t="shared" si="6"/>
        <v>0.53906926406926414</v>
      </c>
      <c r="I28" s="4">
        <f t="shared" si="6"/>
        <v>0</v>
      </c>
      <c r="J28" s="4">
        <f t="shared" si="6"/>
        <v>7.2150072150072159E-2</v>
      </c>
      <c r="K28" s="4">
        <f t="shared" si="6"/>
        <v>9.0187590187590191E-2</v>
      </c>
      <c r="L28" s="4">
        <f t="shared" si="6"/>
        <v>0.53419913419913412</v>
      </c>
      <c r="M28" s="4">
        <f t="shared" si="6"/>
        <v>0.98365800865800856</v>
      </c>
      <c r="N28" s="4">
        <f t="shared" si="6"/>
        <v>1.9232683982683982</v>
      </c>
      <c r="O28" s="4">
        <f t="shared" si="6"/>
        <v>3.4202380952380951</v>
      </c>
      <c r="P28" s="4">
        <f t="shared" si="6"/>
        <v>18.710173160173159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 t="shared" ref="D29:P29" si="7">D14/$F$3</f>
        <v>10.175999999999998</v>
      </c>
      <c r="E29" s="4">
        <f t="shared" si="7"/>
        <v>7.2716363636363646</v>
      </c>
      <c r="F29" s="4">
        <f t="shared" si="7"/>
        <v>6.7549090909090905</v>
      </c>
      <c r="G29" s="4">
        <f t="shared" si="7"/>
        <v>3.8889090909090909</v>
      </c>
      <c r="H29" s="4">
        <f t="shared" si="7"/>
        <v>1.3584545454545456</v>
      </c>
      <c r="I29" s="4">
        <f t="shared" si="7"/>
        <v>0</v>
      </c>
      <c r="J29" s="4">
        <f t="shared" si="7"/>
        <v>0.18181818181818182</v>
      </c>
      <c r="K29" s="4">
        <f t="shared" si="7"/>
        <v>0.22727272727272727</v>
      </c>
      <c r="L29" s="4">
        <f t="shared" si="7"/>
        <v>1.3461818181818181</v>
      </c>
      <c r="M29" s="4">
        <f t="shared" si="7"/>
        <v>2.4788181818181814</v>
      </c>
      <c r="N29" s="4">
        <f t="shared" si="7"/>
        <v>4.8466363636363639</v>
      </c>
      <c r="O29" s="4">
        <f t="shared" si="7"/>
        <v>8.6189999999999998</v>
      </c>
      <c r="P29" s="4">
        <f t="shared" si="7"/>
        <v>47.149636363636354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8">D15/$F$4</f>
        <v>4.3784489795918358</v>
      </c>
      <c r="E30" s="4">
        <f t="shared" si="8"/>
        <v>3.5017594095719105</v>
      </c>
      <c r="F30" s="4">
        <f t="shared" si="8"/>
        <v>2.9461992874382261</v>
      </c>
      <c r="G30" s="4">
        <f t="shared" si="8"/>
        <v>1.4429624384380764</v>
      </c>
      <c r="H30" s="4">
        <f t="shared" si="8"/>
        <v>0.5263102282333052</v>
      </c>
      <c r="I30" s="4">
        <f t="shared" si="8"/>
        <v>0</v>
      </c>
      <c r="J30" s="4">
        <f t="shared" si="8"/>
        <v>7.2150072150072159E-2</v>
      </c>
      <c r="K30" s="4">
        <f t="shared" si="8"/>
        <v>9.0187590187590191E-2</v>
      </c>
      <c r="L30" s="4">
        <f t="shared" si="8"/>
        <v>0.41649424022305376</v>
      </c>
      <c r="M30" s="4">
        <f t="shared" si="8"/>
        <v>1.147105714024143</v>
      </c>
      <c r="N30" s="4">
        <f t="shared" si="8"/>
        <v>2.1214233241505966</v>
      </c>
      <c r="O30" s="4">
        <f t="shared" si="8"/>
        <v>3.7272515935508057</v>
      </c>
      <c r="P30" s="4">
        <f t="shared" si="8"/>
        <v>20.370292877559613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9">D15/$F$3</f>
        <v>11.033691428571426</v>
      </c>
      <c r="E31" s="4">
        <f t="shared" si="9"/>
        <v>8.8244337121212144</v>
      </c>
      <c r="F31" s="4">
        <f t="shared" si="9"/>
        <v>7.4244222043443289</v>
      </c>
      <c r="G31" s="4">
        <f t="shared" si="9"/>
        <v>3.6362653448639524</v>
      </c>
      <c r="H31" s="4">
        <f t="shared" si="9"/>
        <v>1.3263017751479289</v>
      </c>
      <c r="I31" s="4">
        <f t="shared" si="9"/>
        <v>0</v>
      </c>
      <c r="J31" s="4">
        <f t="shared" si="9"/>
        <v>0.18181818181818182</v>
      </c>
      <c r="K31" s="4">
        <f t="shared" si="9"/>
        <v>0.22727272727272727</v>
      </c>
      <c r="L31" s="4">
        <f t="shared" si="9"/>
        <v>1.0495654853620955</v>
      </c>
      <c r="M31" s="4">
        <f t="shared" si="9"/>
        <v>2.8907063993408402</v>
      </c>
      <c r="N31" s="4">
        <f t="shared" si="9"/>
        <v>5.3459867768595037</v>
      </c>
      <c r="O31" s="4">
        <f t="shared" si="9"/>
        <v>9.39267401574803</v>
      </c>
      <c r="P31" s="4">
        <f t="shared" si="9"/>
        <v>51.333138051450227</v>
      </c>
    </row>
    <row r="32" spans="1:28" ht="12" customHeight="1" x14ac:dyDescent="0.3">
      <c r="B32" s="47" t="s">
        <v>44</v>
      </c>
      <c r="C32" s="47" t="s">
        <v>48</v>
      </c>
      <c r="D32" s="4">
        <f t="shared" ref="D32:P32" si="10">1000*D28/D11</f>
        <v>5.7687074829931975</v>
      </c>
      <c r="E32" s="4">
        <f t="shared" si="10"/>
        <v>5.0096701138367807</v>
      </c>
      <c r="F32" s="4">
        <f t="shared" si="10"/>
        <v>4.7442822664061604</v>
      </c>
      <c r="G32" s="4">
        <f t="shared" si="10"/>
        <v>3.5805519564220263</v>
      </c>
      <c r="H32" s="4">
        <f t="shared" si="10"/>
        <v>3.1897589589897288</v>
      </c>
      <c r="I32" s="4" t="e">
        <f t="shared" si="10"/>
        <v>#DIV/0!</v>
      </c>
      <c r="J32" s="4" t="e">
        <f t="shared" si="10"/>
        <v>#DIV/0!</v>
      </c>
      <c r="K32" s="4">
        <f t="shared" si="10"/>
        <v>12.883941455370026</v>
      </c>
      <c r="L32" s="4">
        <f t="shared" si="10"/>
        <v>2.2635556533861618</v>
      </c>
      <c r="M32" s="4">
        <f t="shared" si="10"/>
        <v>2.9717764612024431</v>
      </c>
      <c r="N32" s="4">
        <f t="shared" si="10"/>
        <v>3.8853907035725217</v>
      </c>
      <c r="O32" s="4">
        <f t="shared" si="10"/>
        <v>5.3862017247844012</v>
      </c>
      <c r="P32" s="4">
        <f t="shared" si="10"/>
        <v>4.5139139107776014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4500*1.3</f>
        <v>5850</v>
      </c>
      <c r="E36" s="11" t="s">
        <v>26</v>
      </c>
      <c r="F36" s="51">
        <f>D36/$D$38</f>
        <v>0.59300557526609221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4015</v>
      </c>
      <c r="E37" s="55" t="s">
        <v>26</v>
      </c>
      <c r="F37" s="51">
        <f>D37/$D$38</f>
        <v>0.40699442473390773</v>
      </c>
      <c r="G37" s="11" t="s">
        <v>54</v>
      </c>
      <c r="H37" s="4"/>
      <c r="I37" s="4"/>
      <c r="J37" s="4"/>
      <c r="K37" s="4">
        <f>K36-D36</f>
        <v>2716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9865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0.31706747606817653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0.21588109053334392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82" si="11">DAYS360(B50,B51)</f>
        <v>11</v>
      </c>
      <c r="F51" s="4">
        <f t="shared" ref="F51:F82" si="12">(D51-D50)/E51</f>
        <v>8.1400000000000023</v>
      </c>
      <c r="G51" s="13">
        <v>195</v>
      </c>
      <c r="H51" s="57">
        <f t="shared" ref="H51:H56" si="13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1"/>
        <v>46</v>
      </c>
      <c r="F52" s="4">
        <f t="shared" si="12"/>
        <v>10.755217391304347</v>
      </c>
      <c r="G52" s="13">
        <v>1116</v>
      </c>
      <c r="H52" s="57">
        <f t="shared" si="13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1"/>
        <v>30</v>
      </c>
      <c r="F53" s="4">
        <f t="shared" si="12"/>
        <v>9.9096666666666646</v>
      </c>
      <c r="G53" s="13">
        <v>459</v>
      </c>
      <c r="H53" s="57">
        <f t="shared" si="13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1"/>
        <v>13</v>
      </c>
      <c r="F54" s="4">
        <f t="shared" si="12"/>
        <v>12.971538461538453</v>
      </c>
      <c r="G54" s="4">
        <v>173</v>
      </c>
      <c r="H54" s="57">
        <f t="shared" si="13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1"/>
        <v>56</v>
      </c>
      <c r="F55" s="4">
        <f t="shared" si="12"/>
        <v>10.850714285714288</v>
      </c>
      <c r="G55" s="4">
        <v>537</v>
      </c>
      <c r="H55" s="57">
        <f t="shared" si="13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1"/>
        <v>23</v>
      </c>
      <c r="F56" s="4">
        <f t="shared" si="12"/>
        <v>3.4986956521739043</v>
      </c>
      <c r="G56" s="4">
        <v>78.2</v>
      </c>
      <c r="H56" s="57">
        <f t="shared" si="13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1"/>
        <v>11</v>
      </c>
      <c r="F57" s="4">
        <f t="shared" si="12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1"/>
        <v>26</v>
      </c>
      <c r="F58" s="4">
        <f t="shared" si="12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1"/>
        <v>30</v>
      </c>
      <c r="F59" s="4">
        <f t="shared" si="12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1"/>
        <v>7</v>
      </c>
      <c r="F60" s="4">
        <f t="shared" si="12"/>
        <v>2.2728571428571223</v>
      </c>
      <c r="G60" s="4">
        <f>3.8*7</f>
        <v>26.599999999999998</v>
      </c>
      <c r="H60" s="57">
        <f t="shared" ref="H60:H76" si="14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1"/>
        <v>40</v>
      </c>
      <c r="F61" s="4">
        <f t="shared" si="12"/>
        <v>4.4192499999999999</v>
      </c>
      <c r="G61" s="4">
        <f>7*40</f>
        <v>280</v>
      </c>
      <c r="H61" s="57">
        <f t="shared" si="14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1"/>
        <v>21</v>
      </c>
      <c r="F62" s="4">
        <f t="shared" si="12"/>
        <v>8.9847619047618963</v>
      </c>
      <c r="G62" s="4">
        <f>21*12.5</f>
        <v>262.5</v>
      </c>
      <c r="H62" s="57">
        <f t="shared" si="14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1"/>
        <v>83</v>
      </c>
      <c r="F63" s="4">
        <f t="shared" si="12"/>
        <v>8.7620481927710845</v>
      </c>
      <c r="G63" s="4">
        <v>1643</v>
      </c>
      <c r="H63" s="57">
        <f t="shared" si="14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1"/>
        <v>65</v>
      </c>
      <c r="F64" s="4">
        <f t="shared" si="12"/>
        <v>8.8218461538461543</v>
      </c>
      <c r="G64" s="4">
        <f>524+505+80</f>
        <v>1109</v>
      </c>
      <c r="H64" s="57">
        <f t="shared" si="14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1"/>
        <v>28</v>
      </c>
      <c r="F65" s="4">
        <f t="shared" si="12"/>
        <v>6.7735714285714392</v>
      </c>
      <c r="G65" s="4">
        <v>372</v>
      </c>
      <c r="H65" s="57">
        <f t="shared" si="14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1"/>
        <v>21</v>
      </c>
      <c r="F66" s="4">
        <f t="shared" si="12"/>
        <v>4.8628571428571377</v>
      </c>
      <c r="G66" s="4">
        <v>125</v>
      </c>
      <c r="H66" s="57">
        <f t="shared" si="14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1"/>
        <v>31</v>
      </c>
      <c r="F67" s="4">
        <f t="shared" si="12"/>
        <v>2.5290322580645044</v>
      </c>
      <c r="G67" s="4">
        <v>8</v>
      </c>
      <c r="H67" s="57">
        <f t="shared" si="14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1"/>
        <v>52</v>
      </c>
      <c r="F68" s="4">
        <f t="shared" si="12"/>
        <v>1.4932692307692412</v>
      </c>
      <c r="G68" s="4">
        <v>5</v>
      </c>
      <c r="H68" s="57">
        <f t="shared" si="14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1"/>
        <v>61</v>
      </c>
      <c r="F69" s="4">
        <f t="shared" si="12"/>
        <v>3.4193442622950809</v>
      </c>
      <c r="G69" s="4">
        <f>70+18*(17-4)</f>
        <v>304</v>
      </c>
      <c r="H69" s="57">
        <f t="shared" si="14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1"/>
        <v>50</v>
      </c>
      <c r="F70" s="4">
        <f t="shared" si="12"/>
        <v>8.3852000000000046</v>
      </c>
      <c r="G70" s="4">
        <f>13.5*50</f>
        <v>675</v>
      </c>
      <c r="H70" s="57">
        <f t="shared" si="14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1"/>
        <v>15</v>
      </c>
      <c r="F71" s="4">
        <f t="shared" si="12"/>
        <v>8.0666666666666664</v>
      </c>
      <c r="G71" s="4">
        <f>14*15</f>
        <v>210</v>
      </c>
      <c r="H71" s="57">
        <f t="shared" si="14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1"/>
        <v>80</v>
      </c>
      <c r="F72" s="4">
        <f t="shared" si="12"/>
        <v>3.9747499999999945</v>
      </c>
      <c r="G72" s="4">
        <f>552+969</f>
        <v>1521</v>
      </c>
      <c r="H72" s="57">
        <f t="shared" si="14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1"/>
        <v>46</v>
      </c>
      <c r="F73" s="4">
        <f t="shared" si="12"/>
        <v>6.8530434782608651</v>
      </c>
      <c r="G73" s="4">
        <f>561+376</f>
        <v>937</v>
      </c>
      <c r="H73" s="57">
        <f t="shared" si="14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1"/>
        <v>30</v>
      </c>
      <c r="F74" s="4">
        <f t="shared" si="12"/>
        <v>2.7056666666666689</v>
      </c>
      <c r="G74" s="4">
        <v>23</v>
      </c>
      <c r="H74" s="57">
        <f t="shared" si="14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1"/>
        <v>32</v>
      </c>
      <c r="F75" s="4">
        <f t="shared" si="12"/>
        <v>1.9846875000000068</v>
      </c>
      <c r="G75" s="4">
        <v>37</v>
      </c>
      <c r="H75" s="57">
        <f t="shared" si="14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1"/>
        <v>27</v>
      </c>
      <c r="F76" s="4">
        <f t="shared" si="12"/>
        <v>1.7807407407407381</v>
      </c>
      <c r="G76" s="4">
        <v>0</v>
      </c>
      <c r="H76" s="57" t="e">
        <f t="shared" si="14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1"/>
        <v>14</v>
      </c>
      <c r="F77" s="4">
        <f t="shared" si="12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1"/>
        <v>22</v>
      </c>
      <c r="F78" s="4">
        <f t="shared" si="12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1"/>
        <v>48</v>
      </c>
      <c r="F79" s="4">
        <f t="shared" si="12"/>
        <v>4.2625000000000073</v>
      </c>
      <c r="G79" s="4">
        <f>125+234</f>
        <v>359</v>
      </c>
      <c r="H79" s="57">
        <f t="shared" ref="H79:H85" si="15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1"/>
        <v>69</v>
      </c>
      <c r="F80" s="4">
        <f t="shared" si="12"/>
        <v>7.9052173913043484</v>
      </c>
      <c r="G80" s="4">
        <v>1172</v>
      </c>
      <c r="H80" s="57">
        <f t="shared" si="15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1"/>
        <v>14</v>
      </c>
      <c r="F81" s="4">
        <f t="shared" si="12"/>
        <v>1.9807142857142546</v>
      </c>
      <c r="G81" s="4">
        <v>363</v>
      </c>
      <c r="H81" s="57">
        <f t="shared" si="15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1"/>
        <v>15</v>
      </c>
      <c r="F82" s="4">
        <f t="shared" si="12"/>
        <v>5.7480000000000171</v>
      </c>
      <c r="G82" s="4">
        <v>310</v>
      </c>
      <c r="H82" s="57">
        <f t="shared" si="15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ref="E83:E114" si="16">DAYS360(B82,B83)</f>
        <v>27</v>
      </c>
      <c r="F83" s="4">
        <f t="shared" ref="F83:F104" si="17">(D83-D82)/E83</f>
        <v>6.6633333333333278</v>
      </c>
      <c r="G83" s="4">
        <v>600</v>
      </c>
      <c r="H83" s="57">
        <f t="shared" si="15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16"/>
        <v>50</v>
      </c>
      <c r="F84" s="4">
        <f t="shared" si="17"/>
        <v>8.6689999999999969</v>
      </c>
      <c r="G84" s="4">
        <v>840</v>
      </c>
      <c r="H84" s="57">
        <f t="shared" si="15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16"/>
        <v>21</v>
      </c>
      <c r="F85" s="4">
        <f t="shared" si="17"/>
        <v>6.3404761904762168</v>
      </c>
      <c r="G85" s="4">
        <v>230</v>
      </c>
      <c r="H85" s="57">
        <f t="shared" si="15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16"/>
        <v>34</v>
      </c>
      <c r="F86" s="4">
        <f t="shared" si="17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16"/>
        <v>11</v>
      </c>
      <c r="F87" s="4">
        <f t="shared" si="17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16"/>
        <v>9</v>
      </c>
      <c r="F88" s="4">
        <f t="shared" si="17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16"/>
        <v>34</v>
      </c>
      <c r="F89" s="4">
        <f t="shared" si="17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16"/>
        <v>40</v>
      </c>
      <c r="F90" s="4">
        <f t="shared" si="17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16"/>
        <v>22</v>
      </c>
      <c r="F91" s="4">
        <f t="shared" si="17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16"/>
        <v>27</v>
      </c>
      <c r="F92" s="4">
        <f t="shared" si="17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16"/>
        <v>57</v>
      </c>
      <c r="F93" s="4">
        <f t="shared" si="17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>
        <v>43155</v>
      </c>
      <c r="D94" s="4">
        <v>9122.02</v>
      </c>
      <c r="E94" s="13">
        <f t="shared" si="16"/>
        <v>54</v>
      </c>
      <c r="F94" s="4">
        <f t="shared" si="17"/>
        <v>4.896111111111134</v>
      </c>
      <c r="G94" s="4">
        <v>1320</v>
      </c>
      <c r="H94" s="57">
        <f>(D94-D93)/G94</f>
        <v>0.20029545454545547</v>
      </c>
      <c r="I94" s="4"/>
      <c r="J94" s="4"/>
      <c r="K94" s="4"/>
      <c r="L94" s="4"/>
      <c r="M94" s="4"/>
      <c r="N94" s="4">
        <f>D94-D93</f>
        <v>264.39000000000124</v>
      </c>
      <c r="O94" s="4"/>
      <c r="P94" s="4"/>
    </row>
    <row r="95" spans="2:16" ht="12" customHeight="1" x14ac:dyDescent="0.25">
      <c r="B95" s="56">
        <v>43184</v>
      </c>
      <c r="D95" s="4">
        <v>9294.3700000000008</v>
      </c>
      <c r="E95" s="13">
        <f t="shared" si="16"/>
        <v>31</v>
      </c>
      <c r="F95" s="4">
        <f t="shared" si="17"/>
        <v>5.5596774193548502</v>
      </c>
      <c r="G95" s="4">
        <v>723</v>
      </c>
      <c r="H95" s="57">
        <f>(D95-D94)/G95</f>
        <v>0.23838174273858972</v>
      </c>
      <c r="I95" s="4"/>
      <c r="J95" s="4"/>
      <c r="K95" s="4"/>
      <c r="L95" s="4"/>
      <c r="M95" s="4"/>
      <c r="N95" s="4">
        <f>D95-D94</f>
        <v>172.35000000000036</v>
      </c>
      <c r="O95" s="4"/>
      <c r="P95" s="4">
        <f>D94-D83</f>
        <v>2005.7700000000004</v>
      </c>
    </row>
    <row r="96" spans="2:16" ht="12" customHeight="1" x14ac:dyDescent="0.25">
      <c r="B96" s="56">
        <v>43217</v>
      </c>
      <c r="D96" s="4">
        <v>9530.9</v>
      </c>
      <c r="E96" s="13">
        <f t="shared" si="16"/>
        <v>32</v>
      </c>
      <c r="F96" s="4">
        <f t="shared" si="17"/>
        <v>7.3915624999999636</v>
      </c>
      <c r="G96" s="4"/>
      <c r="H96" s="4"/>
      <c r="I96" s="4"/>
      <c r="J96" s="4"/>
      <c r="K96" s="4"/>
      <c r="L96" s="4"/>
      <c r="M96" s="4"/>
      <c r="N96" s="4">
        <f>D96-D95</f>
        <v>236.52999999999884</v>
      </c>
      <c r="O96" s="4"/>
      <c r="P96" s="4"/>
    </row>
    <row r="97" spans="2:17" ht="12" customHeight="1" x14ac:dyDescent="0.25">
      <c r="B97" s="56">
        <v>43241</v>
      </c>
      <c r="D97" s="4">
        <v>9598.7999999999993</v>
      </c>
      <c r="E97" s="13">
        <f t="shared" si="16"/>
        <v>24</v>
      </c>
      <c r="F97" s="4">
        <f t="shared" si="17"/>
        <v>2.8291666666666515</v>
      </c>
      <c r="G97" s="4"/>
      <c r="H97" s="4"/>
      <c r="I97" s="4"/>
      <c r="J97" s="4"/>
      <c r="K97" s="4"/>
      <c r="L97" s="4"/>
      <c r="M97" s="4"/>
      <c r="N97" s="4">
        <f>D97-D96</f>
        <v>67.899999999999636</v>
      </c>
      <c r="O97" s="4"/>
      <c r="P97" s="4"/>
    </row>
    <row r="98" spans="2:17" ht="12" customHeight="1" x14ac:dyDescent="0.25">
      <c r="B98" s="56">
        <v>43269</v>
      </c>
      <c r="D98" s="4">
        <v>9628.2800000000007</v>
      </c>
      <c r="E98" s="13">
        <f t="shared" si="16"/>
        <v>27</v>
      </c>
      <c r="F98" s="4">
        <f t="shared" si="17"/>
        <v>1.0918518518519031</v>
      </c>
      <c r="G98" s="4"/>
      <c r="H98" s="4"/>
      <c r="I98" s="4"/>
      <c r="J98" s="4"/>
      <c r="K98" s="4"/>
      <c r="L98" s="4"/>
      <c r="M98" s="4"/>
      <c r="N98" s="4">
        <f>D98-D97</f>
        <v>29.480000000001382</v>
      </c>
      <c r="O98" s="4"/>
      <c r="P98" s="4">
        <f>D98-D87</f>
        <v>1804.2700000000004</v>
      </c>
    </row>
    <row r="99" spans="2:17" ht="12" customHeight="1" x14ac:dyDescent="0.25">
      <c r="B99" s="56">
        <v>43285</v>
      </c>
      <c r="D99" s="4">
        <v>9644.2900000000009</v>
      </c>
      <c r="E99" s="13">
        <f t="shared" si="16"/>
        <v>16</v>
      </c>
      <c r="F99" s="4">
        <f t="shared" si="17"/>
        <v>1.0006250000000136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7" ht="12" customHeight="1" x14ac:dyDescent="0.25">
      <c r="B100" s="56">
        <v>43298</v>
      </c>
      <c r="D100" s="4">
        <v>9661.08</v>
      </c>
      <c r="E100" s="13">
        <f t="shared" si="16"/>
        <v>13</v>
      </c>
      <c r="F100" s="4">
        <f t="shared" si="17"/>
        <v>1.2915384615383887</v>
      </c>
      <c r="G100" s="4"/>
      <c r="H100" s="4"/>
      <c r="I100" s="4"/>
      <c r="J100" s="4"/>
      <c r="K100" s="4"/>
      <c r="L100" s="4"/>
      <c r="M100" s="4"/>
      <c r="N100" s="4">
        <f>D100-D99</f>
        <v>16.789999999999054</v>
      </c>
      <c r="O100" s="4"/>
      <c r="P100" s="4"/>
    </row>
    <row r="101" spans="2:17" ht="12" customHeight="1" x14ac:dyDescent="0.25">
      <c r="B101" s="56">
        <v>43317</v>
      </c>
      <c r="D101" s="4">
        <v>9702.4</v>
      </c>
      <c r="E101" s="13">
        <f t="shared" si="16"/>
        <v>18</v>
      </c>
      <c r="F101" s="4">
        <f t="shared" si="17"/>
        <v>2.2955555555555396</v>
      </c>
      <c r="G101" s="4"/>
      <c r="H101" s="4"/>
      <c r="I101" s="4"/>
      <c r="J101" s="4"/>
      <c r="K101" s="4"/>
      <c r="L101" s="4"/>
      <c r="M101" s="4"/>
      <c r="N101" s="4">
        <f>D101-D99</f>
        <v>58.109999999998763</v>
      </c>
      <c r="O101" s="4">
        <f>N101-N100</f>
        <v>41.319999999999709</v>
      </c>
      <c r="P101" s="4">
        <f>D101-D89</f>
        <v>1831.29</v>
      </c>
    </row>
    <row r="102" spans="2:17" ht="12" customHeight="1" x14ac:dyDescent="0.25">
      <c r="B102" s="56">
        <v>43364</v>
      </c>
      <c r="D102" s="4">
        <v>9762.31</v>
      </c>
      <c r="E102" s="13">
        <f t="shared" si="16"/>
        <v>46</v>
      </c>
      <c r="F102" s="4">
        <f t="shared" si="17"/>
        <v>1.302391304347823</v>
      </c>
      <c r="G102" s="4"/>
      <c r="H102" s="4"/>
      <c r="I102" s="4"/>
      <c r="J102" s="4"/>
      <c r="K102" s="4"/>
      <c r="L102" s="4"/>
      <c r="M102" s="4"/>
      <c r="N102" s="4">
        <f>D102-D101</f>
        <v>59.909999999999854</v>
      </c>
      <c r="O102" s="4"/>
      <c r="P102" s="4">
        <f>D102-D90</f>
        <v>1812.3099999999995</v>
      </c>
    </row>
    <row r="103" spans="2:17" ht="12" customHeight="1" x14ac:dyDescent="0.25">
      <c r="B103" s="56">
        <v>43401</v>
      </c>
      <c r="D103" s="4">
        <v>9930.7800000000007</v>
      </c>
      <c r="E103" s="13">
        <f t="shared" si="16"/>
        <v>37</v>
      </c>
      <c r="F103" s="4">
        <f t="shared" si="17"/>
        <v>4.5532432432432746</v>
      </c>
      <c r="G103" s="4"/>
      <c r="H103" s="4"/>
      <c r="I103" s="4"/>
      <c r="J103" s="4"/>
      <c r="K103" s="4"/>
      <c r="L103" s="4"/>
      <c r="M103" s="4"/>
      <c r="N103" s="4">
        <f>D103-D101</f>
        <v>228.38000000000102</v>
      </c>
      <c r="O103" s="4"/>
      <c r="P103" s="4"/>
      <c r="Q103" s="14"/>
    </row>
    <row r="104" spans="2:17" ht="12" customHeight="1" x14ac:dyDescent="0.25">
      <c r="B104" s="56">
        <v>43442</v>
      </c>
      <c r="D104" s="4">
        <v>10300.530000000001</v>
      </c>
      <c r="E104" s="13">
        <f t="shared" si="16"/>
        <v>40</v>
      </c>
      <c r="F104" s="4">
        <f t="shared" si="17"/>
        <v>9.2437500000000004</v>
      </c>
      <c r="G104" s="4">
        <f>SUM(M11:N11)</f>
        <v>826</v>
      </c>
      <c r="H104" s="57">
        <f>(D104-D103)/G104</f>
        <v>0.44763922518159804</v>
      </c>
      <c r="I104" s="4"/>
      <c r="J104" s="4"/>
      <c r="K104" s="4"/>
      <c r="L104" s="4"/>
      <c r="M104" s="4"/>
      <c r="N104" s="4">
        <f>D104-D103</f>
        <v>369.75</v>
      </c>
      <c r="O104" s="4"/>
      <c r="P104" s="4"/>
    </row>
    <row r="105" spans="2:17" ht="12" customHeight="1" x14ac:dyDescent="0.25">
      <c r="B105" s="56">
        <v>43464</v>
      </c>
      <c r="D105" s="4">
        <v>531.5</v>
      </c>
      <c r="E105" s="13">
        <f t="shared" si="16"/>
        <v>22</v>
      </c>
      <c r="F105" s="4">
        <f>(D105-D104+10000)/E105</f>
        <v>10.498636363636335</v>
      </c>
      <c r="G105" s="4"/>
      <c r="H105" s="4"/>
      <c r="I105" s="4"/>
      <c r="J105" s="4"/>
      <c r="K105" s="4"/>
      <c r="L105" s="4"/>
      <c r="M105" s="4"/>
      <c r="N105" s="4">
        <f>D105-D104+10000</f>
        <v>230.96999999999935</v>
      </c>
      <c r="O105" s="4"/>
      <c r="P105" s="4">
        <f>D105-D93+10000</f>
        <v>1673.8700000000008</v>
      </c>
    </row>
    <row r="106" spans="2:17" ht="12" customHeight="1" x14ac:dyDescent="0.25">
      <c r="B106" s="56">
        <v>43547</v>
      </c>
      <c r="D106" s="4">
        <v>994.26</v>
      </c>
      <c r="E106" s="13">
        <f t="shared" si="16"/>
        <v>83</v>
      </c>
      <c r="F106" s="4">
        <f t="shared" ref="F106:F140" si="18">(D106-D105)/E106</f>
        <v>5.5754216867469877</v>
      </c>
      <c r="G106" s="4"/>
      <c r="H106" s="4"/>
      <c r="I106" s="4"/>
      <c r="J106" s="4"/>
      <c r="K106" s="4"/>
      <c r="L106" s="4"/>
      <c r="M106" s="4"/>
      <c r="N106" s="4">
        <f t="shared" ref="N106:N140" si="19">D106-D105</f>
        <v>462.76</v>
      </c>
      <c r="O106" s="4"/>
      <c r="P106" s="4">
        <f>D106-D95+10000</f>
        <v>1699.8899999999994</v>
      </c>
    </row>
    <row r="107" spans="2:17" ht="12" customHeight="1" x14ac:dyDescent="0.25">
      <c r="B107" s="56">
        <v>43582</v>
      </c>
      <c r="D107" s="4">
        <v>1190.8699999999999</v>
      </c>
      <c r="E107" s="13">
        <f t="shared" si="16"/>
        <v>34</v>
      </c>
      <c r="F107" s="4">
        <f t="shared" si="18"/>
        <v>5.7826470588235264</v>
      </c>
      <c r="G107" s="4"/>
      <c r="H107" s="4"/>
      <c r="I107" s="4"/>
      <c r="J107" s="4"/>
      <c r="K107" s="4"/>
      <c r="L107" s="4"/>
      <c r="M107" s="4"/>
      <c r="N107" s="4">
        <f t="shared" si="19"/>
        <v>196.6099999999999</v>
      </c>
      <c r="O107" s="4"/>
      <c r="P107" s="4">
        <f>D107-D96+10000</f>
        <v>1659.9700000000012</v>
      </c>
    </row>
    <row r="108" spans="2:17" ht="12" customHeight="1" x14ac:dyDescent="0.25">
      <c r="B108" s="56">
        <v>43622</v>
      </c>
      <c r="D108" s="4">
        <v>1333.82</v>
      </c>
      <c r="E108" s="13">
        <f t="shared" si="16"/>
        <v>39</v>
      </c>
      <c r="F108" s="4">
        <f t="shared" si="18"/>
        <v>3.6653846153846166</v>
      </c>
      <c r="G108" s="4"/>
      <c r="H108" s="4"/>
      <c r="I108" s="4"/>
      <c r="J108" s="4"/>
      <c r="K108" s="4"/>
      <c r="L108" s="4"/>
      <c r="M108" s="4"/>
      <c r="N108" s="4">
        <f t="shared" si="19"/>
        <v>142.95000000000005</v>
      </c>
      <c r="O108" s="4"/>
      <c r="P108" s="4">
        <f>D108-D98+10000</f>
        <v>1705.5399999999991</v>
      </c>
    </row>
    <row r="109" spans="2:17" ht="12" customHeight="1" x14ac:dyDescent="0.25">
      <c r="B109" s="56">
        <v>43670</v>
      </c>
      <c r="D109" s="4">
        <v>1398.19</v>
      </c>
      <c r="E109" s="13">
        <f t="shared" si="16"/>
        <v>48</v>
      </c>
      <c r="F109" s="4">
        <f t="shared" si="18"/>
        <v>1.3410416666666691</v>
      </c>
      <c r="G109" s="4"/>
      <c r="H109" s="4"/>
      <c r="I109" s="4"/>
      <c r="J109" s="4"/>
      <c r="K109" s="4"/>
      <c r="L109" s="4"/>
      <c r="M109" s="4"/>
      <c r="N109" s="4">
        <f t="shared" si="19"/>
        <v>64.370000000000118</v>
      </c>
      <c r="O109" s="4"/>
      <c r="P109" s="4"/>
    </row>
    <row r="110" spans="2:17" ht="12" customHeight="1" x14ac:dyDescent="0.25">
      <c r="B110" s="56">
        <v>43681</v>
      </c>
      <c r="D110" s="4">
        <v>1419.41</v>
      </c>
      <c r="E110" s="13">
        <f t="shared" si="16"/>
        <v>10</v>
      </c>
      <c r="F110" s="4">
        <f t="shared" si="18"/>
        <v>2.1220000000000026</v>
      </c>
      <c r="G110" s="4"/>
      <c r="H110" s="4"/>
      <c r="I110" s="4"/>
      <c r="J110" s="4"/>
      <c r="K110" s="4"/>
      <c r="L110" s="4"/>
      <c r="M110" s="4"/>
      <c r="N110" s="4">
        <f t="shared" si="19"/>
        <v>21.220000000000027</v>
      </c>
      <c r="O110" s="4"/>
      <c r="P110" s="4">
        <f>D110-D101+10000</f>
        <v>1717.0100000000002</v>
      </c>
    </row>
    <row r="111" spans="2:17" ht="12" customHeight="1" x14ac:dyDescent="0.3">
      <c r="B111" s="56">
        <v>43744</v>
      </c>
      <c r="D111" s="47">
        <v>1581.94</v>
      </c>
      <c r="E111" s="13">
        <f t="shared" si="16"/>
        <v>62</v>
      </c>
      <c r="F111" s="4">
        <f t="shared" si="18"/>
        <v>2.6214516129032255</v>
      </c>
      <c r="G111" s="4"/>
      <c r="H111" s="4"/>
      <c r="I111" s="4"/>
      <c r="J111" s="4"/>
      <c r="K111" s="4"/>
      <c r="L111" s="4"/>
      <c r="M111" s="4"/>
      <c r="N111" s="4">
        <f t="shared" si="19"/>
        <v>162.52999999999997</v>
      </c>
      <c r="O111" s="4"/>
      <c r="P111" s="4"/>
    </row>
    <row r="112" spans="2:17" ht="12" customHeight="1" x14ac:dyDescent="0.25">
      <c r="B112" s="56">
        <v>43806</v>
      </c>
      <c r="D112" s="4">
        <v>2125.79</v>
      </c>
      <c r="E112" s="13">
        <f t="shared" si="16"/>
        <v>61</v>
      </c>
      <c r="F112" s="4">
        <f t="shared" si="18"/>
        <v>8.9155737704918021</v>
      </c>
      <c r="G112" s="4"/>
      <c r="H112" s="4"/>
      <c r="I112" s="4"/>
      <c r="J112" s="4"/>
      <c r="K112" s="4"/>
      <c r="L112" s="4"/>
      <c r="M112" s="4"/>
      <c r="N112" s="4">
        <f t="shared" si="19"/>
        <v>543.84999999999991</v>
      </c>
      <c r="O112" s="4"/>
      <c r="P112" s="4">
        <f>D112-D104+10000</f>
        <v>1825.2599999999993</v>
      </c>
    </row>
    <row r="113" spans="2:18" ht="12" customHeight="1" x14ac:dyDescent="0.25">
      <c r="B113" s="56">
        <v>43827</v>
      </c>
      <c r="D113" s="4">
        <v>2323.56</v>
      </c>
      <c r="E113" s="13">
        <f t="shared" si="16"/>
        <v>21</v>
      </c>
      <c r="F113" s="4">
        <f t="shared" si="18"/>
        <v>9.4176190476190467</v>
      </c>
      <c r="G113" s="4"/>
      <c r="H113" s="4"/>
      <c r="I113" s="4"/>
      <c r="J113" s="4"/>
      <c r="K113" s="4"/>
      <c r="L113" s="4"/>
      <c r="M113" s="4"/>
      <c r="N113" s="4">
        <f t="shared" si="19"/>
        <v>197.76999999999998</v>
      </c>
      <c r="O113" s="4"/>
      <c r="P113" s="4">
        <f>D113-D105</f>
        <v>1792.06</v>
      </c>
    </row>
    <row r="114" spans="2:18" ht="12" customHeight="1" x14ac:dyDescent="0.25">
      <c r="B114" s="56">
        <v>43876</v>
      </c>
      <c r="D114" s="4">
        <v>2777.25</v>
      </c>
      <c r="E114" s="13">
        <f t="shared" si="16"/>
        <v>47</v>
      </c>
      <c r="F114" s="4">
        <f t="shared" si="18"/>
        <v>9.6529787234042566</v>
      </c>
      <c r="G114" s="4"/>
      <c r="H114" s="4"/>
      <c r="I114" s="4"/>
      <c r="J114" s="4"/>
      <c r="K114" s="4"/>
      <c r="L114" s="4"/>
      <c r="M114" s="4"/>
      <c r="N114" s="4">
        <f t="shared" si="19"/>
        <v>453.69000000000005</v>
      </c>
      <c r="O114" s="4"/>
      <c r="P114" s="4"/>
    </row>
    <row r="115" spans="2:18" ht="12" customHeight="1" x14ac:dyDescent="0.25">
      <c r="B115" s="56">
        <v>43953</v>
      </c>
      <c r="D115" s="4">
        <v>3386.03</v>
      </c>
      <c r="E115" s="13">
        <f t="shared" ref="E115:E140" si="20">DAYS360(B114,B115)</f>
        <v>77</v>
      </c>
      <c r="F115" s="4">
        <f t="shared" si="18"/>
        <v>7.9062337662337692</v>
      </c>
      <c r="G115" s="4"/>
      <c r="H115" s="4"/>
      <c r="I115" s="4"/>
      <c r="J115" s="4"/>
      <c r="K115" s="4"/>
      <c r="L115" s="4"/>
      <c r="M115" s="4"/>
      <c r="N115" s="4">
        <f t="shared" si="19"/>
        <v>608.7800000000002</v>
      </c>
      <c r="O115" s="4"/>
      <c r="P115" s="4">
        <f>D115-D107</f>
        <v>2195.1600000000003</v>
      </c>
    </row>
    <row r="116" spans="2:18" ht="12" customHeight="1" x14ac:dyDescent="0.25">
      <c r="B116" s="56">
        <v>43972</v>
      </c>
      <c r="D116" s="4">
        <v>3469.97</v>
      </c>
      <c r="E116" s="13">
        <f t="shared" si="20"/>
        <v>19</v>
      </c>
      <c r="F116" s="4">
        <f t="shared" si="18"/>
        <v>4.4178947368420838</v>
      </c>
      <c r="G116" s="4"/>
      <c r="H116" s="4"/>
      <c r="I116" s="4"/>
      <c r="J116" s="4"/>
      <c r="K116" s="4"/>
      <c r="L116" s="4"/>
      <c r="M116" s="4"/>
      <c r="N116" s="4">
        <f t="shared" si="19"/>
        <v>83.9399999999996</v>
      </c>
      <c r="O116" s="4"/>
      <c r="P116" s="4"/>
    </row>
    <row r="117" spans="2:18" ht="12" customHeight="1" x14ac:dyDescent="0.25">
      <c r="B117" s="56">
        <v>43994</v>
      </c>
      <c r="D117" s="4">
        <v>3511.84</v>
      </c>
      <c r="E117" s="13">
        <f t="shared" si="20"/>
        <v>21</v>
      </c>
      <c r="F117" s="4">
        <f t="shared" si="18"/>
        <v>1.9938095238095404</v>
      </c>
      <c r="G117" s="4"/>
      <c r="H117" s="4"/>
      <c r="I117" s="4"/>
      <c r="J117" s="4"/>
      <c r="K117" s="4"/>
      <c r="L117" s="4"/>
      <c r="M117" s="4"/>
      <c r="N117" s="4">
        <f t="shared" si="19"/>
        <v>41.870000000000346</v>
      </c>
      <c r="O117" s="4"/>
      <c r="P117" s="4"/>
    </row>
    <row r="118" spans="2:18" ht="12" customHeight="1" x14ac:dyDescent="0.25">
      <c r="B118" s="56">
        <v>44038</v>
      </c>
      <c r="D118" s="4">
        <v>3570.78</v>
      </c>
      <c r="E118" s="13">
        <f t="shared" si="20"/>
        <v>44</v>
      </c>
      <c r="F118" s="4">
        <f t="shared" si="18"/>
        <v>1.3395454545454557</v>
      </c>
      <c r="G118" s="4"/>
      <c r="H118" s="4"/>
      <c r="I118" s="4"/>
      <c r="J118" s="4"/>
      <c r="K118" s="4"/>
      <c r="L118" s="4"/>
      <c r="M118" s="4"/>
      <c r="N118" s="4">
        <f t="shared" si="19"/>
        <v>58.940000000000055</v>
      </c>
      <c r="O118" s="4"/>
      <c r="P118" s="4">
        <f>D118-D109</f>
        <v>2172.59</v>
      </c>
    </row>
    <row r="119" spans="2:18" ht="12" customHeight="1" x14ac:dyDescent="0.25">
      <c r="B119" s="56">
        <v>44072</v>
      </c>
      <c r="D119" s="4">
        <v>3600.26</v>
      </c>
      <c r="E119" s="13">
        <f t="shared" si="20"/>
        <v>33</v>
      </c>
      <c r="F119" s="4">
        <f t="shared" si="18"/>
        <v>0.89333333333333387</v>
      </c>
      <c r="G119" s="4"/>
      <c r="H119" s="4"/>
      <c r="I119" s="4"/>
      <c r="J119" s="4"/>
      <c r="K119" s="4"/>
      <c r="L119" s="4"/>
      <c r="M119" s="4"/>
      <c r="N119" s="4">
        <f t="shared" si="19"/>
        <v>29.480000000000018</v>
      </c>
      <c r="O119" s="4"/>
      <c r="P119" s="4"/>
    </row>
    <row r="120" spans="2:18" ht="12" customHeight="1" x14ac:dyDescent="0.25">
      <c r="B120" s="56">
        <v>44101</v>
      </c>
      <c r="D120" s="4">
        <v>3662.21</v>
      </c>
      <c r="E120" s="13">
        <f t="shared" si="20"/>
        <v>28</v>
      </c>
      <c r="F120" s="4">
        <f t="shared" si="18"/>
        <v>2.2124999999999937</v>
      </c>
      <c r="G120" s="4"/>
      <c r="H120" s="4"/>
      <c r="I120" s="4"/>
      <c r="J120" s="4"/>
      <c r="K120" s="4"/>
      <c r="L120" s="4"/>
      <c r="M120" s="4"/>
      <c r="N120" s="4">
        <f t="shared" si="19"/>
        <v>61.949999999999818</v>
      </c>
      <c r="O120" s="4"/>
      <c r="P120" s="4">
        <f>D120-D111</f>
        <v>2080.27</v>
      </c>
    </row>
    <row r="121" spans="2:18" ht="12" customHeight="1" x14ac:dyDescent="0.25">
      <c r="B121" s="56">
        <v>44117</v>
      </c>
      <c r="D121" s="4">
        <v>3707.35</v>
      </c>
      <c r="E121" s="13">
        <f t="shared" si="20"/>
        <v>16</v>
      </c>
      <c r="F121" s="4">
        <f t="shared" si="18"/>
        <v>2.821249999999992</v>
      </c>
      <c r="G121" s="4"/>
      <c r="H121" s="4"/>
      <c r="I121" s="4"/>
      <c r="J121" s="4"/>
      <c r="K121" s="4"/>
      <c r="L121" s="4"/>
      <c r="M121" s="4"/>
      <c r="N121" s="4">
        <f t="shared" si="19"/>
        <v>45.139999999999873</v>
      </c>
      <c r="O121" s="4"/>
      <c r="P121" s="4">
        <f>D121-D111</f>
        <v>2125.41</v>
      </c>
    </row>
    <row r="122" spans="2:18" ht="12" customHeight="1" x14ac:dyDescent="0.25">
      <c r="B122" s="56">
        <v>44201</v>
      </c>
      <c r="D122" s="4">
        <v>4438.38</v>
      </c>
      <c r="E122" s="13">
        <f t="shared" si="20"/>
        <v>82</v>
      </c>
      <c r="F122" s="4">
        <f t="shared" si="18"/>
        <v>8.9150000000000027</v>
      </c>
      <c r="G122" s="4"/>
      <c r="H122" s="4"/>
      <c r="I122" s="4"/>
      <c r="J122" s="4"/>
      <c r="K122" s="4"/>
      <c r="L122" s="4"/>
      <c r="M122" s="4"/>
      <c r="N122" s="4">
        <f t="shared" si="19"/>
        <v>731.0300000000002</v>
      </c>
      <c r="O122" s="4">
        <f>B122-B113</f>
        <v>374</v>
      </c>
      <c r="P122" s="4">
        <f>D122-D113</f>
        <v>2114.8200000000002</v>
      </c>
    </row>
    <row r="123" spans="2:18" ht="12" customHeight="1" x14ac:dyDescent="0.3">
      <c r="B123" s="56">
        <v>44287</v>
      </c>
      <c r="D123" s="4">
        <v>4926.05</v>
      </c>
      <c r="E123" s="13">
        <f t="shared" si="20"/>
        <v>86</v>
      </c>
      <c r="F123" s="4">
        <f t="shared" si="18"/>
        <v>5.6705813953488384</v>
      </c>
      <c r="G123" s="4"/>
      <c r="H123" s="4"/>
      <c r="I123" s="4"/>
      <c r="J123" s="4"/>
      <c r="K123" s="4"/>
      <c r="L123" s="4"/>
      <c r="M123" s="4"/>
      <c r="N123" s="4">
        <f t="shared" si="19"/>
        <v>487.67000000000007</v>
      </c>
      <c r="O123" s="4">
        <f>B123-B115</f>
        <v>334</v>
      </c>
      <c r="P123" s="4">
        <f>D123-D115</f>
        <v>1540.02</v>
      </c>
      <c r="R123" s="47">
        <f>P123/O123*365</f>
        <v>1682.9559880239522</v>
      </c>
    </row>
    <row r="124" spans="2:18" ht="12" customHeight="1" x14ac:dyDescent="0.25">
      <c r="B124" s="56">
        <v>44332</v>
      </c>
      <c r="D124" s="4">
        <v>5146.6099999999997</v>
      </c>
      <c r="E124" s="13">
        <f t="shared" si="20"/>
        <v>45</v>
      </c>
      <c r="F124" s="4">
        <f t="shared" si="18"/>
        <v>4.901333333333322</v>
      </c>
      <c r="G124" s="4"/>
      <c r="H124" s="4"/>
      <c r="I124" s="4"/>
      <c r="J124" s="4"/>
      <c r="K124" s="4"/>
      <c r="L124" s="4"/>
      <c r="M124" s="4"/>
      <c r="N124" s="4">
        <f t="shared" si="19"/>
        <v>220.55999999999949</v>
      </c>
      <c r="O124" s="4">
        <f>B124-B116</f>
        <v>360</v>
      </c>
      <c r="P124" s="4">
        <f>D124-D116</f>
        <v>1676.6399999999999</v>
      </c>
    </row>
    <row r="125" spans="2:18" ht="12" customHeight="1" x14ac:dyDescent="0.25">
      <c r="B125" s="56">
        <v>44353</v>
      </c>
      <c r="D125" s="4">
        <v>5199.4399999999996</v>
      </c>
      <c r="E125" s="13">
        <f t="shared" si="20"/>
        <v>20</v>
      </c>
      <c r="F125" s="4">
        <f t="shared" si="18"/>
        <v>2.6414999999999962</v>
      </c>
      <c r="G125" s="4"/>
      <c r="H125" s="4"/>
      <c r="I125" s="4"/>
      <c r="J125" s="4"/>
      <c r="K125" s="4"/>
      <c r="L125" s="4"/>
      <c r="M125" s="4"/>
      <c r="N125" s="4">
        <f t="shared" si="19"/>
        <v>52.829999999999927</v>
      </c>
      <c r="O125" s="4">
        <f>B125-B117</f>
        <v>359</v>
      </c>
      <c r="P125" s="4">
        <f>D125-D117</f>
        <v>1687.5999999999995</v>
      </c>
    </row>
    <row r="126" spans="2:18" ht="12" customHeight="1" x14ac:dyDescent="0.25">
      <c r="B126" s="56">
        <v>44379</v>
      </c>
      <c r="D126" s="4">
        <v>5251.48</v>
      </c>
      <c r="E126" s="13">
        <f t="shared" si="20"/>
        <v>26</v>
      </c>
      <c r="F126" s="4">
        <f t="shared" si="18"/>
        <v>2.0015384615384599</v>
      </c>
      <c r="G126" s="4"/>
      <c r="H126" s="4"/>
      <c r="I126" s="4"/>
      <c r="J126" s="4"/>
      <c r="K126" s="4"/>
      <c r="L126" s="4"/>
      <c r="M126" s="4"/>
      <c r="N126" s="4">
        <f t="shared" si="19"/>
        <v>52.039999999999964</v>
      </c>
      <c r="O126" s="4">
        <f>B126-B118</f>
        <v>341</v>
      </c>
      <c r="P126" s="4">
        <f>D126-D118</f>
        <v>1680.6999999999994</v>
      </c>
    </row>
    <row r="127" spans="2:18" ht="12" customHeight="1" x14ac:dyDescent="0.25">
      <c r="B127" s="56">
        <v>44397</v>
      </c>
      <c r="D127" s="4">
        <v>5295.15</v>
      </c>
      <c r="E127" s="13">
        <f t="shared" si="20"/>
        <v>18</v>
      </c>
      <c r="F127" s="4">
        <f t="shared" si="18"/>
        <v>2.4261111111111151</v>
      </c>
      <c r="G127" s="4"/>
      <c r="H127" s="4"/>
      <c r="I127" s="4"/>
      <c r="J127" s="4"/>
      <c r="K127" s="4"/>
      <c r="L127" s="4"/>
      <c r="M127" s="4"/>
      <c r="N127" s="4">
        <f t="shared" si="19"/>
        <v>43.670000000000073</v>
      </c>
      <c r="O127" s="4">
        <f>B127-B118</f>
        <v>359</v>
      </c>
      <c r="P127" s="4">
        <f>D127-D118</f>
        <v>1724.3699999999994</v>
      </c>
    </row>
    <row r="128" spans="2:18" ht="12" customHeight="1" x14ac:dyDescent="0.25">
      <c r="B128" s="56">
        <v>44428</v>
      </c>
      <c r="D128" s="4">
        <v>5324.43</v>
      </c>
      <c r="E128" s="13">
        <f t="shared" si="20"/>
        <v>30</v>
      </c>
      <c r="F128" s="4">
        <f t="shared" si="18"/>
        <v>0.97600000000002185</v>
      </c>
      <c r="G128" s="4"/>
      <c r="H128" s="4"/>
      <c r="I128" s="4"/>
      <c r="J128" s="4"/>
      <c r="K128" s="4"/>
      <c r="L128" s="4"/>
      <c r="M128" s="4"/>
      <c r="N128" s="4">
        <f t="shared" si="19"/>
        <v>29.280000000000655</v>
      </c>
      <c r="O128" s="4">
        <f>B128-B119</f>
        <v>356</v>
      </c>
      <c r="P128" s="4">
        <f>D128-D119</f>
        <v>1724.17</v>
      </c>
    </row>
    <row r="129" spans="2:16" ht="12" customHeight="1" x14ac:dyDescent="0.25">
      <c r="B129" s="56">
        <v>44479</v>
      </c>
      <c r="D129" s="4">
        <v>5511.95</v>
      </c>
      <c r="E129" s="13">
        <f t="shared" si="20"/>
        <v>50</v>
      </c>
      <c r="F129" s="4">
        <f t="shared" si="18"/>
        <v>3.7503999999999906</v>
      </c>
      <c r="G129" s="4"/>
      <c r="H129" s="4"/>
      <c r="I129" s="4"/>
      <c r="J129" s="4"/>
      <c r="K129" s="4"/>
      <c r="L129" s="4"/>
      <c r="M129" s="4"/>
      <c r="N129" s="4">
        <f t="shared" si="19"/>
        <v>187.51999999999953</v>
      </c>
      <c r="O129" s="4">
        <f>B129-B121</f>
        <v>362</v>
      </c>
      <c r="P129" s="4">
        <f>D129-D121</f>
        <v>1804.6</v>
      </c>
    </row>
    <row r="130" spans="2:16" ht="12" customHeight="1" x14ac:dyDescent="0.25">
      <c r="B130" s="58">
        <v>44527</v>
      </c>
      <c r="D130" s="4">
        <v>5819.9</v>
      </c>
      <c r="E130" s="13">
        <f t="shared" si="20"/>
        <v>47</v>
      </c>
      <c r="F130" s="4">
        <f t="shared" si="18"/>
        <v>6.552127659574464</v>
      </c>
      <c r="G130" s="4"/>
      <c r="H130" s="4"/>
      <c r="I130" s="4"/>
      <c r="J130" s="4"/>
      <c r="K130" s="4"/>
      <c r="L130" s="4"/>
      <c r="M130" s="4"/>
      <c r="N130" s="4">
        <f t="shared" si="19"/>
        <v>307.94999999999982</v>
      </c>
      <c r="O130" s="4"/>
      <c r="P130" s="4"/>
    </row>
    <row r="131" spans="2:16" ht="12" customHeight="1" x14ac:dyDescent="0.25">
      <c r="B131" s="56">
        <v>44563</v>
      </c>
      <c r="D131" s="4">
        <v>5910.14</v>
      </c>
      <c r="E131" s="13">
        <f t="shared" si="20"/>
        <v>35</v>
      </c>
      <c r="F131" s="4">
        <f t="shared" si="18"/>
        <v>2.5782857142857338</v>
      </c>
      <c r="G131" s="4"/>
      <c r="H131" s="4"/>
      <c r="I131" s="4"/>
      <c r="J131" s="4"/>
      <c r="K131" s="4"/>
      <c r="L131" s="4"/>
      <c r="M131" s="4"/>
      <c r="N131" s="4">
        <f t="shared" si="19"/>
        <v>90.240000000000691</v>
      </c>
      <c r="O131" s="4">
        <f>B131-B122</f>
        <v>362</v>
      </c>
      <c r="P131" s="4">
        <f>D131-D122</f>
        <v>1471.7600000000002</v>
      </c>
    </row>
    <row r="132" spans="2:16" ht="12" customHeight="1" x14ac:dyDescent="0.25">
      <c r="B132" s="56">
        <v>44611</v>
      </c>
      <c r="D132" s="4">
        <v>6231.45</v>
      </c>
      <c r="E132" s="13">
        <f t="shared" si="20"/>
        <v>47</v>
      </c>
      <c r="F132" s="4">
        <f t="shared" si="18"/>
        <v>6.8363829787233934</v>
      </c>
      <c r="G132" s="4"/>
      <c r="H132" s="4"/>
      <c r="I132" s="4"/>
      <c r="J132" s="4"/>
      <c r="K132" s="4"/>
      <c r="L132" s="4"/>
      <c r="M132" s="4"/>
      <c r="N132" s="4">
        <f t="shared" si="19"/>
        <v>321.30999999999949</v>
      </c>
      <c r="O132" s="4">
        <f>B132-B122</f>
        <v>410</v>
      </c>
      <c r="P132" s="4"/>
    </row>
    <row r="133" spans="2:16" ht="12" customHeight="1" x14ac:dyDescent="0.25">
      <c r="B133" s="56">
        <v>44657</v>
      </c>
      <c r="C133" s="1" t="s">
        <v>63</v>
      </c>
      <c r="D133" s="4">
        <v>6741</v>
      </c>
      <c r="E133" s="13">
        <f t="shared" si="20"/>
        <v>47</v>
      </c>
      <c r="F133" s="4">
        <f t="shared" si="18"/>
        <v>10.841489361702132</v>
      </c>
      <c r="G133" s="4"/>
      <c r="H133" s="4"/>
      <c r="I133" s="4"/>
      <c r="J133" s="4"/>
      <c r="K133" s="4"/>
      <c r="L133" s="4"/>
      <c r="M133" s="4"/>
      <c r="N133" s="4">
        <f t="shared" si="19"/>
        <v>509.55000000000018</v>
      </c>
      <c r="O133" s="4">
        <f>B133-B123</f>
        <v>370</v>
      </c>
      <c r="P133" s="4">
        <f>D133-D123</f>
        <v>1814.9499999999998</v>
      </c>
    </row>
    <row r="134" spans="2:16" ht="12" customHeight="1" x14ac:dyDescent="0.25">
      <c r="B134" s="56">
        <v>44716</v>
      </c>
      <c r="D134" s="4">
        <v>6824.36</v>
      </c>
      <c r="E134" s="13">
        <f t="shared" si="20"/>
        <v>58</v>
      </c>
      <c r="F134" s="4">
        <f t="shared" si="18"/>
        <v>1.4372413793103391</v>
      </c>
      <c r="G134" s="4"/>
      <c r="H134" s="4"/>
      <c r="I134" s="4"/>
      <c r="J134" s="4"/>
      <c r="K134" s="4"/>
      <c r="L134" s="4"/>
      <c r="M134" s="4"/>
      <c r="N134" s="4">
        <f t="shared" si="19"/>
        <v>83.359999999999673</v>
      </c>
      <c r="O134" s="4">
        <f>B134-B125</f>
        <v>363</v>
      </c>
      <c r="P134" s="4">
        <f>D134-D125</f>
        <v>1624.92</v>
      </c>
    </row>
    <row r="135" spans="2:16" ht="12" customHeight="1" x14ac:dyDescent="0.25">
      <c r="B135" s="56">
        <v>44752</v>
      </c>
      <c r="D135" s="4">
        <v>6875.85</v>
      </c>
      <c r="E135" s="13">
        <f t="shared" si="20"/>
        <v>36</v>
      </c>
      <c r="F135" s="4">
        <f t="shared" si="18"/>
        <v>1.4302777777777971</v>
      </c>
      <c r="G135" s="4"/>
      <c r="H135" s="4"/>
      <c r="I135" s="4"/>
      <c r="J135" s="4"/>
      <c r="K135" s="4"/>
      <c r="L135" s="4"/>
      <c r="M135" s="4"/>
      <c r="N135" s="4">
        <f t="shared" si="19"/>
        <v>51.490000000000691</v>
      </c>
      <c r="O135" s="4">
        <f>B135-B127</f>
        <v>355</v>
      </c>
      <c r="P135" s="4">
        <f>D135-D127</f>
        <v>1580.7000000000007</v>
      </c>
    </row>
    <row r="136" spans="2:16" ht="12" customHeight="1" x14ac:dyDescent="0.25">
      <c r="B136" s="56">
        <v>44766</v>
      </c>
      <c r="D136" s="4">
        <v>6890.21</v>
      </c>
      <c r="E136" s="13">
        <f t="shared" si="20"/>
        <v>14</v>
      </c>
      <c r="F136" s="4">
        <f t="shared" si="18"/>
        <v>1.0257142857142623</v>
      </c>
      <c r="G136" s="4"/>
      <c r="H136" s="4"/>
      <c r="I136" s="4"/>
      <c r="J136" s="4"/>
      <c r="K136" s="4"/>
      <c r="L136" s="4"/>
      <c r="M136" s="4"/>
      <c r="N136" s="4">
        <f t="shared" si="19"/>
        <v>14.359999999999673</v>
      </c>
      <c r="O136" s="4">
        <f>B136-B127</f>
        <v>369</v>
      </c>
      <c r="P136" s="4">
        <f>D136-D127</f>
        <v>1595.0600000000004</v>
      </c>
    </row>
    <row r="137" spans="2:16" ht="12" customHeight="1" x14ac:dyDescent="0.25">
      <c r="B137" s="56">
        <v>44793</v>
      </c>
      <c r="D137" s="4">
        <v>6916.32</v>
      </c>
      <c r="E137" s="13">
        <f t="shared" si="20"/>
        <v>26</v>
      </c>
      <c r="F137" s="4">
        <f t="shared" si="18"/>
        <v>1.0042307692307566</v>
      </c>
      <c r="G137" s="4"/>
      <c r="H137" s="4"/>
      <c r="I137" s="4"/>
      <c r="J137" s="4"/>
      <c r="K137" s="4"/>
      <c r="L137" s="4"/>
      <c r="M137" s="4"/>
      <c r="N137" s="4">
        <f t="shared" si="19"/>
        <v>26.109999999999673</v>
      </c>
      <c r="O137" s="4">
        <f>B137-B128</f>
        <v>365</v>
      </c>
      <c r="P137" s="4">
        <f>D137-D128</f>
        <v>1591.8899999999994</v>
      </c>
    </row>
    <row r="138" spans="2:16" ht="12" customHeight="1" x14ac:dyDescent="0.25">
      <c r="B138" s="56">
        <v>44827</v>
      </c>
      <c r="D138" s="4">
        <v>6991.88</v>
      </c>
      <c r="E138" s="13">
        <f t="shared" si="20"/>
        <v>33</v>
      </c>
      <c r="F138" s="4">
        <f t="shared" si="18"/>
        <v>2.289696969696982</v>
      </c>
      <c r="G138" s="4"/>
      <c r="H138" s="4"/>
      <c r="I138" s="4"/>
      <c r="J138" s="4"/>
      <c r="K138" s="4"/>
      <c r="L138" s="4"/>
      <c r="M138" s="4"/>
      <c r="N138" s="4">
        <f t="shared" si="19"/>
        <v>75.5600000000004</v>
      </c>
      <c r="O138" s="4">
        <f>B137-B128</f>
        <v>365</v>
      </c>
      <c r="P138" s="4">
        <f>D137-D128</f>
        <v>1591.8899999999994</v>
      </c>
    </row>
    <row r="139" spans="2:16" ht="12" customHeight="1" x14ac:dyDescent="0.25">
      <c r="B139" s="56">
        <v>44852</v>
      </c>
      <c r="D139" s="4">
        <v>7112.02</v>
      </c>
      <c r="E139" s="13">
        <f t="shared" si="20"/>
        <v>25</v>
      </c>
      <c r="F139" s="4">
        <f t="shared" si="18"/>
        <v>4.8056000000000134</v>
      </c>
      <c r="G139" s="4"/>
      <c r="H139" s="4"/>
      <c r="I139" s="4"/>
      <c r="J139" s="4"/>
      <c r="K139" s="4"/>
      <c r="L139" s="4"/>
      <c r="M139" s="4"/>
      <c r="N139" s="4">
        <f t="shared" si="19"/>
        <v>120.14000000000033</v>
      </c>
      <c r="O139" s="4">
        <f>B139-B129</f>
        <v>373</v>
      </c>
      <c r="P139" s="4">
        <f>D139-D129</f>
        <v>1600.0700000000006</v>
      </c>
    </row>
    <row r="140" spans="2:16" ht="12" customHeight="1" x14ac:dyDescent="0.25">
      <c r="B140" s="56">
        <v>44931</v>
      </c>
      <c r="D140" s="4">
        <v>7681.25</v>
      </c>
      <c r="E140" s="13">
        <f t="shared" si="20"/>
        <v>77</v>
      </c>
      <c r="F140" s="4">
        <f t="shared" si="18"/>
        <v>7.3925974025973966</v>
      </c>
      <c r="G140" s="4"/>
      <c r="H140" s="4"/>
      <c r="I140" s="4"/>
      <c r="J140" s="4"/>
      <c r="K140" s="4"/>
      <c r="L140" s="4"/>
      <c r="M140" s="4"/>
      <c r="N140" s="4">
        <f t="shared" si="19"/>
        <v>569.22999999999956</v>
      </c>
      <c r="O140" s="4">
        <f>B140-B131</f>
        <v>368</v>
      </c>
      <c r="P140" s="4">
        <f>D140-D131</f>
        <v>1771.1099999999997</v>
      </c>
    </row>
    <row r="141" spans="2:16" ht="12" customHeight="1" x14ac:dyDescent="0.25">
      <c r="B141" s="5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 ht="12" customHeight="1" x14ac:dyDescent="0.25">
      <c r="B142" s="5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 ht="12" customHeight="1" x14ac:dyDescent="0.25">
      <c r="B143" s="5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 ht="12" customHeight="1" x14ac:dyDescent="0.25">
      <c r="B144" s="5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 ht="12" customHeight="1" x14ac:dyDescent="0.25">
      <c r="B145" s="5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topLeftCell="B1" zoomScaleNormal="100" workbookViewId="0">
      <selection activeCell="P8" sqref="P8:P15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8" width="10.5546875" customWidth="1"/>
    <col min="19" max="19" width="8.6640625" customWidth="1"/>
    <col min="20" max="20" width="11.5546875" customWidth="1"/>
    <col min="21" max="25" width="8.6640625" customWidth="1"/>
    <col min="26" max="26" width="14.6640625" customWidth="1"/>
    <col min="27" max="28" width="8.6640625" customWidth="1"/>
  </cols>
  <sheetData>
    <row r="1" spans="1:28" ht="12" customHeight="1" x14ac:dyDescent="0.3">
      <c r="A1" s="2" t="s">
        <v>0</v>
      </c>
      <c r="D1" s="3">
        <v>2021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5"/>
      <c r="S1" s="6"/>
      <c r="T1" s="7"/>
    </row>
    <row r="2" spans="1:28" ht="11.25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5"/>
      <c r="S2" s="9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11.4</v>
      </c>
      <c r="L3" s="11" t="s">
        <v>5</v>
      </c>
      <c r="M3" s="4"/>
      <c r="N3" s="4"/>
      <c r="O3" s="4"/>
      <c r="P3" s="4"/>
      <c r="Q3" s="8"/>
      <c r="R3" s="60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(SUM(I9:K9)-SUM(I10:K10))/92</f>
        <v>11.412282608695653</v>
      </c>
      <c r="L4" s="11" t="s">
        <v>5</v>
      </c>
      <c r="M4" s="11"/>
      <c r="N4" s="11"/>
      <c r="O4" s="11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customHeight="1" x14ac:dyDescent="0.25">
      <c r="A7" s="19"/>
      <c r="B7" s="20"/>
      <c r="C7" s="21"/>
      <c r="D7" s="22">
        <v>31</v>
      </c>
      <c r="E7" s="22">
        <v>28</v>
      </c>
      <c r="F7" s="22">
        <v>31</v>
      </c>
      <c r="G7" s="22">
        <v>30</v>
      </c>
      <c r="H7" s="22">
        <v>31</v>
      </c>
      <c r="I7" s="22">
        <v>30</v>
      </c>
      <c r="J7" s="22">
        <v>31</v>
      </c>
      <c r="K7" s="22">
        <v>31</v>
      </c>
      <c r="L7" s="22">
        <v>30</v>
      </c>
      <c r="M7" s="22">
        <v>31</v>
      </c>
      <c r="N7" s="22">
        <v>30</v>
      </c>
      <c r="O7" s="22">
        <v>31</v>
      </c>
      <c r="P7" s="23">
        <f>SUM(D7:O7)</f>
        <v>365</v>
      </c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2.75" customHeight="1" x14ac:dyDescent="0.25">
      <c r="A8" s="25">
        <v>2021</v>
      </c>
      <c r="B8" s="26" t="s">
        <v>23</v>
      </c>
      <c r="C8" s="30" t="s">
        <v>65</v>
      </c>
      <c r="D8" s="28">
        <v>-5.9</v>
      </c>
      <c r="E8" s="28">
        <v>-10.3</v>
      </c>
      <c r="F8" s="28">
        <v>-2.6</v>
      </c>
      <c r="G8" s="28">
        <v>3.8</v>
      </c>
      <c r="H8" s="28">
        <v>10.1</v>
      </c>
      <c r="I8" s="28">
        <v>19.8</v>
      </c>
      <c r="J8" s="28">
        <v>21.2</v>
      </c>
      <c r="K8" s="28">
        <v>14.9</v>
      </c>
      <c r="L8" s="28">
        <v>8.5</v>
      </c>
      <c r="M8" s="28">
        <v>6.9</v>
      </c>
      <c r="N8" s="28">
        <v>0.6</v>
      </c>
      <c r="O8" s="28">
        <v>-8.8000000000000007</v>
      </c>
      <c r="P8" s="28">
        <f>AVERAGE(D8:O8)</f>
        <v>4.8499999999999988</v>
      </c>
      <c r="T8" s="29"/>
      <c r="U8" s="8"/>
      <c r="Z8" s="83"/>
      <c r="AA8" s="83"/>
    </row>
    <row r="9" spans="1:28" ht="12" customHeight="1" x14ac:dyDescent="0.25">
      <c r="A9" s="25">
        <v>2021</v>
      </c>
      <c r="B9" s="26" t="s">
        <v>25</v>
      </c>
      <c r="C9" s="30" t="s">
        <v>26</v>
      </c>
      <c r="D9" s="31">
        <v>1371.52</v>
      </c>
      <c r="E9" s="31">
        <v>1595.42</v>
      </c>
      <c r="F9" s="32">
        <v>1179.06</v>
      </c>
      <c r="G9" s="32">
        <v>840.93</v>
      </c>
      <c r="H9" s="32">
        <v>591.4</v>
      </c>
      <c r="I9" s="32">
        <v>505.73</v>
      </c>
      <c r="J9" s="32">
        <v>338.91</v>
      </c>
      <c r="K9" s="32">
        <v>331.29</v>
      </c>
      <c r="L9" s="32">
        <v>486.31</v>
      </c>
      <c r="M9" s="32">
        <v>597.4</v>
      </c>
      <c r="N9" s="32">
        <v>881.95</v>
      </c>
      <c r="O9" s="32">
        <v>1723.54</v>
      </c>
      <c r="P9" s="33">
        <f>SUM(D9:O9)</f>
        <v>10443.459999999999</v>
      </c>
      <c r="Q9" s="34"/>
      <c r="R9" s="34">
        <f>SUM(D9:O9)+SUM('2020'!M9:O9)</f>
        <v>13142.989999999998</v>
      </c>
      <c r="S9" s="35"/>
      <c r="T9" s="36"/>
      <c r="U9" s="34"/>
      <c r="Z9" s="37"/>
      <c r="AB9" s="37"/>
    </row>
    <row r="10" spans="1:28" ht="12" customHeight="1" x14ac:dyDescent="0.25">
      <c r="A10" s="25">
        <v>2021</v>
      </c>
      <c r="B10" s="26" t="s">
        <v>28</v>
      </c>
      <c r="C10" s="30" t="s">
        <v>26</v>
      </c>
      <c r="D10" s="43">
        <v>130</v>
      </c>
      <c r="E10" s="43">
        <v>80</v>
      </c>
      <c r="F10" s="43">
        <v>280</v>
      </c>
      <c r="G10" s="43">
        <v>160</v>
      </c>
      <c r="H10" s="43">
        <v>110</v>
      </c>
      <c r="I10" s="39">
        <v>52</v>
      </c>
      <c r="J10" s="39">
        <v>44</v>
      </c>
      <c r="K10" s="43">
        <v>30</v>
      </c>
      <c r="L10" s="43">
        <v>140</v>
      </c>
      <c r="M10" s="43">
        <v>170</v>
      </c>
      <c r="N10" s="43">
        <v>180</v>
      </c>
      <c r="O10" s="43">
        <v>90</v>
      </c>
      <c r="P10" s="43">
        <f>SUM(D10:O10)</f>
        <v>1466</v>
      </c>
      <c r="Q10" s="34"/>
      <c r="R10" s="34">
        <f>SUM(D10:O10)+SUM('2020'!N10:O10)</f>
        <v>2066</v>
      </c>
      <c r="T10" s="36">
        <f>P10+'2020'!T10</f>
        <v>26375.230811381905</v>
      </c>
      <c r="U10" s="34"/>
      <c r="V10" s="35"/>
    </row>
    <row r="11" spans="1:28" ht="12" customHeight="1" x14ac:dyDescent="0.25">
      <c r="A11" s="25">
        <v>2021</v>
      </c>
      <c r="B11" s="40" t="s">
        <v>29</v>
      </c>
      <c r="C11" s="30" t="s">
        <v>66</v>
      </c>
      <c r="D11" s="32">
        <v>709</v>
      </c>
      <c r="E11" s="32">
        <v>764</v>
      </c>
      <c r="F11" s="32">
        <v>606</v>
      </c>
      <c r="G11" s="32">
        <v>397</v>
      </c>
      <c r="H11" s="32">
        <v>216</v>
      </c>
      <c r="I11" s="32">
        <v>0</v>
      </c>
      <c r="J11" s="32">
        <v>0</v>
      </c>
      <c r="K11" s="32">
        <v>20</v>
      </c>
      <c r="L11" s="32">
        <v>244</v>
      </c>
      <c r="M11" s="32">
        <v>314</v>
      </c>
      <c r="N11" s="32">
        <v>492</v>
      </c>
      <c r="O11" s="32">
        <v>801</v>
      </c>
      <c r="P11" s="32">
        <f>SUM(D11:O11)</f>
        <v>4563</v>
      </c>
      <c r="Q11" s="42"/>
      <c r="R11" s="42"/>
      <c r="S11" s="35"/>
      <c r="T11" s="34"/>
      <c r="U11" s="34"/>
      <c r="V11" s="35"/>
    </row>
    <row r="12" spans="1:28" ht="12" customHeight="1" x14ac:dyDescent="0.25">
      <c r="A12" s="25">
        <v>2021</v>
      </c>
      <c r="B12" s="40" t="s">
        <v>31</v>
      </c>
      <c r="C12" s="30" t="s">
        <v>66</v>
      </c>
      <c r="D12" s="32">
        <v>759</v>
      </c>
      <c r="E12" s="32">
        <v>699</v>
      </c>
      <c r="F12" s="32">
        <v>621</v>
      </c>
      <c r="G12" s="32">
        <v>403</v>
      </c>
      <c r="H12" s="32">
        <v>165</v>
      </c>
      <c r="I12" s="32">
        <v>22</v>
      </c>
      <c r="J12" s="32">
        <v>5</v>
      </c>
      <c r="K12" s="32">
        <v>28</v>
      </c>
      <c r="L12" s="32">
        <v>184</v>
      </c>
      <c r="M12" s="32">
        <v>386</v>
      </c>
      <c r="N12" s="32">
        <v>546</v>
      </c>
      <c r="O12" s="32">
        <v>692</v>
      </c>
      <c r="P12" s="32">
        <v>4510</v>
      </c>
      <c r="R12" s="42"/>
      <c r="T12" s="36"/>
      <c r="U12" s="34"/>
      <c r="V12" s="34"/>
    </row>
    <row r="13" spans="1:28" ht="12" customHeight="1" x14ac:dyDescent="0.25">
      <c r="A13" s="25">
        <v>2021</v>
      </c>
      <c r="B13" s="26" t="s">
        <v>32</v>
      </c>
      <c r="C13" s="30" t="s">
        <v>26</v>
      </c>
      <c r="D13" s="32">
        <f t="shared" ref="D13:O13" si="0">$K$3*D7</f>
        <v>353.40000000000003</v>
      </c>
      <c r="E13" s="32">
        <f t="shared" si="0"/>
        <v>319.2</v>
      </c>
      <c r="F13" s="32">
        <f t="shared" si="0"/>
        <v>353.40000000000003</v>
      </c>
      <c r="G13" s="32">
        <f t="shared" si="0"/>
        <v>342</v>
      </c>
      <c r="H13" s="32">
        <f t="shared" si="0"/>
        <v>353.40000000000003</v>
      </c>
      <c r="I13" s="32">
        <f t="shared" si="0"/>
        <v>342</v>
      </c>
      <c r="J13" s="32">
        <f t="shared" si="0"/>
        <v>353.40000000000003</v>
      </c>
      <c r="K13" s="32">
        <f t="shared" si="0"/>
        <v>353.40000000000003</v>
      </c>
      <c r="L13" s="32">
        <f t="shared" si="0"/>
        <v>342</v>
      </c>
      <c r="M13" s="32">
        <f t="shared" si="0"/>
        <v>353.40000000000003</v>
      </c>
      <c r="N13" s="32">
        <f t="shared" si="0"/>
        <v>342</v>
      </c>
      <c r="O13" s="32">
        <f t="shared" si="0"/>
        <v>353.40000000000003</v>
      </c>
      <c r="P13" s="32">
        <f>SUM(D13:O13)</f>
        <v>4161</v>
      </c>
      <c r="T13" s="36"/>
      <c r="U13" s="34"/>
    </row>
    <row r="14" spans="1:28" ht="12" customHeight="1" x14ac:dyDescent="0.25">
      <c r="A14" s="25">
        <v>2021</v>
      </c>
      <c r="B14" s="26" t="s">
        <v>33</v>
      </c>
      <c r="C14" s="30" t="s">
        <v>26</v>
      </c>
      <c r="D14" s="32">
        <f>D9-D13</f>
        <v>1018.1199999999999</v>
      </c>
      <c r="E14" s="32">
        <f>E9-E13</f>
        <v>1276.22</v>
      </c>
      <c r="F14" s="32">
        <f>F9-F13</f>
        <v>825.65999999999985</v>
      </c>
      <c r="G14" s="32">
        <f>G9-G13</f>
        <v>498.92999999999995</v>
      </c>
      <c r="H14" s="32">
        <f>H9-H13</f>
        <v>237.99999999999994</v>
      </c>
      <c r="I14" s="43">
        <v>0</v>
      </c>
      <c r="J14" s="43">
        <f>J10</f>
        <v>44</v>
      </c>
      <c r="K14" s="43">
        <f>K10</f>
        <v>30</v>
      </c>
      <c r="L14" s="32">
        <f>L9-L13</f>
        <v>144.31</v>
      </c>
      <c r="M14" s="32">
        <f>M9-M13</f>
        <v>243.99999999999994</v>
      </c>
      <c r="N14" s="32">
        <f>N9-N13</f>
        <v>539.95000000000005</v>
      </c>
      <c r="O14" s="32">
        <f>O9-O13</f>
        <v>1370.1399999999999</v>
      </c>
      <c r="P14" s="32">
        <f>SUM(D14:O14)</f>
        <v>6229.33</v>
      </c>
      <c r="R14" s="35"/>
      <c r="T14" s="36"/>
      <c r="U14" s="34"/>
    </row>
    <row r="15" spans="1:28" ht="12" customHeight="1" x14ac:dyDescent="0.25">
      <c r="A15" s="25">
        <v>2021</v>
      </c>
      <c r="B15" s="26" t="s">
        <v>34</v>
      </c>
      <c r="C15" s="30" t="s">
        <v>26</v>
      </c>
      <c r="D15" s="32">
        <f>IF(D14&lt;0,0,((D12/D11))*D14)</f>
        <v>1089.9197179125526</v>
      </c>
      <c r="E15" s="32">
        <f>IF(E14&lt;0,0,((E12/E11))*E14)</f>
        <v>1167.6410732984293</v>
      </c>
      <c r="F15" s="32">
        <f>IF(F14&lt;0,0,((F12/F11))*F14)</f>
        <v>846.09712871287115</v>
      </c>
      <c r="G15" s="32">
        <f>IF(G14&lt;0,0,((G12/G11))*G14)</f>
        <v>506.4705037783375</v>
      </c>
      <c r="H15" s="32">
        <f>IF(H14&lt;0,0,((H12/H11))*H14)</f>
        <v>181.80555555555551</v>
      </c>
      <c r="I15" s="32">
        <f>I14</f>
        <v>0</v>
      </c>
      <c r="J15" s="32">
        <f>J14</f>
        <v>44</v>
      </c>
      <c r="K15" s="32">
        <f>K14</f>
        <v>30</v>
      </c>
      <c r="L15" s="32">
        <f>IF(L14&lt;0,0,((L12/L11))*L14)</f>
        <v>108.8239344262295</v>
      </c>
      <c r="M15" s="32">
        <f>IF(M14&lt;0,0,((M12/M11))*M14)</f>
        <v>299.94904458598717</v>
      </c>
      <c r="N15" s="32">
        <f>IF(N14&lt;0,0,((N12/N11))*N14)</f>
        <v>599.21280487804893</v>
      </c>
      <c r="O15" s="32">
        <f>IF(O14&lt;0,0,((O12/O11))*O14)</f>
        <v>1183.6914856429462</v>
      </c>
      <c r="P15" s="33">
        <f>SUM(D15:O15)</f>
        <v>6057.6112487909577</v>
      </c>
      <c r="Q15" s="44"/>
      <c r="R15" s="45">
        <f>P14-P10</f>
        <v>4763.33</v>
      </c>
      <c r="T15" s="36"/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1">D9/D7</f>
        <v>44.24258064516129</v>
      </c>
      <c r="E18" s="4">
        <f t="shared" si="1"/>
        <v>56.979285714285716</v>
      </c>
      <c r="F18" s="4">
        <f t="shared" si="1"/>
        <v>38.034193548387094</v>
      </c>
      <c r="G18" s="4">
        <f t="shared" si="1"/>
        <v>28.030999999999999</v>
      </c>
      <c r="H18" s="4">
        <f t="shared" si="1"/>
        <v>19.07741935483871</v>
      </c>
      <c r="I18" s="4">
        <f t="shared" si="1"/>
        <v>16.857666666666667</v>
      </c>
      <c r="J18" s="4">
        <f t="shared" si="1"/>
        <v>10.932580645161291</v>
      </c>
      <c r="K18" s="4">
        <f t="shared" si="1"/>
        <v>10.686774193548388</v>
      </c>
      <c r="L18" s="4">
        <f t="shared" si="1"/>
        <v>16.210333333333335</v>
      </c>
      <c r="M18" s="4">
        <f t="shared" si="1"/>
        <v>19.270967741935483</v>
      </c>
      <c r="N18" s="4">
        <f t="shared" si="1"/>
        <v>29.398333333333333</v>
      </c>
      <c r="O18" s="4">
        <f t="shared" si="1"/>
        <v>55.598064516129028</v>
      </c>
      <c r="P18" s="4"/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1371.52</v>
      </c>
      <c r="E19" s="4">
        <f>SUM($D$9:E9)</f>
        <v>2966.94</v>
      </c>
      <c r="F19" s="4">
        <f>SUM($D$9:F9)</f>
        <v>4146</v>
      </c>
      <c r="G19" s="4">
        <f>SUM($D$9:G9)</f>
        <v>4986.93</v>
      </c>
      <c r="H19" s="4">
        <f>SUM($D$9:H9)</f>
        <v>5578.33</v>
      </c>
      <c r="I19" s="4">
        <f>SUM($D$9:I9)</f>
        <v>6084.0599999999995</v>
      </c>
      <c r="J19" s="4">
        <f>SUM($D$9:J9)</f>
        <v>6422.9699999999993</v>
      </c>
      <c r="K19" s="4">
        <f>SUM($D$9:K9)</f>
        <v>6754.2599999999993</v>
      </c>
      <c r="L19" s="4">
        <f>SUM($D$9:L9)</f>
        <v>7240.57</v>
      </c>
      <c r="M19" s="4">
        <f>SUM($D$9:M9)</f>
        <v>7837.9699999999993</v>
      </c>
      <c r="N19" s="4">
        <f>SUM($D$9:N9)</f>
        <v>8719.92</v>
      </c>
      <c r="O19" s="4">
        <f>SUM($D$9:O9)</f>
        <v>10443.459999999999</v>
      </c>
      <c r="P19" s="4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130</v>
      </c>
      <c r="E20" s="4">
        <f>SUM($D$10:E10)</f>
        <v>210</v>
      </c>
      <c r="F20" s="4">
        <f>SUM($D$10:F10)</f>
        <v>490</v>
      </c>
      <c r="G20" s="4">
        <f>SUM($D$10:G10)</f>
        <v>650</v>
      </c>
      <c r="H20" s="4">
        <f>SUM($D$10:H10)</f>
        <v>760</v>
      </c>
      <c r="I20" s="4">
        <f>SUM($D$10:I10)</f>
        <v>812</v>
      </c>
      <c r="J20" s="4">
        <f>SUM($D$10:J10)</f>
        <v>856</v>
      </c>
      <c r="K20" s="4">
        <f>SUM($D$10:K10)</f>
        <v>886</v>
      </c>
      <c r="L20" s="4">
        <f>SUM($D$10:L10)</f>
        <v>1026</v>
      </c>
      <c r="M20" s="4">
        <f>SUM($D$10:M10)</f>
        <v>1196</v>
      </c>
      <c r="N20" s="4">
        <f>SUM($D$10:N10)</f>
        <v>1376</v>
      </c>
      <c r="O20" s="4">
        <f>SUM($D$10:O10)</f>
        <v>1466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1018.1199999999999</v>
      </c>
      <c r="E21" s="4">
        <f>SUM($D$14:E14)</f>
        <v>2294.34</v>
      </c>
      <c r="F21" s="4">
        <f>SUM($D$14:F14)</f>
        <v>3120</v>
      </c>
      <c r="G21" s="4">
        <f>SUM($D$14:G14)</f>
        <v>3618.93</v>
      </c>
      <c r="H21" s="4">
        <f>SUM($D$14:H14)</f>
        <v>3856.93</v>
      </c>
      <c r="I21" s="4">
        <f>SUM($D$14:I14)</f>
        <v>3856.93</v>
      </c>
      <c r="J21" s="4">
        <f>SUM($D$14:J14)</f>
        <v>3900.93</v>
      </c>
      <c r="K21" s="4">
        <f>SUM($D$14:K14)</f>
        <v>3930.93</v>
      </c>
      <c r="L21" s="4">
        <f>SUM($D$14:L14)</f>
        <v>4075.24</v>
      </c>
      <c r="M21" s="4">
        <f>SUM($D$14:M14)</f>
        <v>4319.24</v>
      </c>
      <c r="N21" s="4">
        <f>SUM($D$14:N14)</f>
        <v>4859.1899999999996</v>
      </c>
      <c r="O21" s="4">
        <f>SUM($D$14:O14)</f>
        <v>6229.33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2">D14/D9</f>
        <v>0.74232967802146521</v>
      </c>
      <c r="E24" s="51">
        <f t="shared" si="2"/>
        <v>0.79992729187298639</v>
      </c>
      <c r="F24" s="51">
        <f t="shared" si="2"/>
        <v>0.70026970637626573</v>
      </c>
      <c r="G24" s="51">
        <f t="shared" si="2"/>
        <v>0.59330740965359774</v>
      </c>
      <c r="H24" s="51">
        <f t="shared" si="2"/>
        <v>0.40243490023672635</v>
      </c>
      <c r="I24" s="51">
        <f t="shared" si="2"/>
        <v>0</v>
      </c>
      <c r="J24" s="51">
        <f t="shared" si="2"/>
        <v>0.12982797792924375</v>
      </c>
      <c r="K24" s="51">
        <f t="shared" si="2"/>
        <v>9.0555102780041655E-2</v>
      </c>
      <c r="L24" s="51">
        <f t="shared" si="2"/>
        <v>0.29674487466842137</v>
      </c>
      <c r="M24" s="51">
        <f t="shared" si="2"/>
        <v>0.40843655841981913</v>
      </c>
      <c r="N24" s="51">
        <f t="shared" si="2"/>
        <v>0.61222291513124327</v>
      </c>
      <c r="O24" s="51">
        <f t="shared" si="2"/>
        <v>0.79495689104981604</v>
      </c>
      <c r="P24" s="51">
        <f t="shared" si="2"/>
        <v>0.5964814343139152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3">D14/D11</f>
        <v>1.4359943582510577</v>
      </c>
      <c r="E25" s="4">
        <f t="shared" si="3"/>
        <v>1.6704450261780106</v>
      </c>
      <c r="F25" s="4">
        <f t="shared" si="3"/>
        <v>1.3624752475247521</v>
      </c>
      <c r="G25" s="4">
        <f t="shared" si="3"/>
        <v>1.2567506297229218</v>
      </c>
      <c r="H25" s="4">
        <f t="shared" si="3"/>
        <v>1.1018518518518516</v>
      </c>
      <c r="I25" s="4" t="e">
        <f t="shared" si="3"/>
        <v>#DIV/0!</v>
      </c>
      <c r="J25" s="4" t="e">
        <f t="shared" si="3"/>
        <v>#DIV/0!</v>
      </c>
      <c r="K25" s="4">
        <f t="shared" si="3"/>
        <v>1.5</v>
      </c>
      <c r="L25" s="4">
        <f t="shared" si="3"/>
        <v>0.59143442622950826</v>
      </c>
      <c r="M25" s="4">
        <f t="shared" si="3"/>
        <v>0.77707006369426734</v>
      </c>
      <c r="N25" s="4">
        <f t="shared" si="3"/>
        <v>1.0974593495934961</v>
      </c>
      <c r="O25" s="4">
        <f t="shared" si="3"/>
        <v>1.710536828963795</v>
      </c>
      <c r="P25" s="4">
        <f t="shared" si="3"/>
        <v>1.3651829936445321</v>
      </c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 t="shared" ref="D26:P26" si="4">D14/D7</f>
        <v>32.842580645161284</v>
      </c>
      <c r="E26" s="4">
        <f t="shared" si="4"/>
        <v>45.579285714285717</v>
      </c>
      <c r="F26" s="4">
        <f t="shared" si="4"/>
        <v>26.634193548387092</v>
      </c>
      <c r="G26" s="4">
        <f t="shared" si="4"/>
        <v>16.630999999999997</v>
      </c>
      <c r="H26" s="4">
        <f t="shared" si="4"/>
        <v>7.6774193548387082</v>
      </c>
      <c r="I26" s="4">
        <f t="shared" si="4"/>
        <v>0</v>
      </c>
      <c r="J26" s="4">
        <f t="shared" si="4"/>
        <v>1.4193548387096775</v>
      </c>
      <c r="K26" s="4">
        <f t="shared" si="4"/>
        <v>0.967741935483871</v>
      </c>
      <c r="L26" s="4">
        <f t="shared" si="4"/>
        <v>4.8103333333333333</v>
      </c>
      <c r="M26" s="4">
        <f t="shared" si="4"/>
        <v>7.8709677419354822</v>
      </c>
      <c r="N26" s="4">
        <f t="shared" si="4"/>
        <v>17.998333333333335</v>
      </c>
      <c r="O26" s="4">
        <f t="shared" si="4"/>
        <v>44.19806451612903</v>
      </c>
      <c r="P26" s="4">
        <f t="shared" si="4"/>
        <v>17.066657534246573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 t="shared" ref="D27:P27" si="5">D15/D7</f>
        <v>35.158700577824277</v>
      </c>
      <c r="E27" s="4">
        <f t="shared" si="5"/>
        <v>41.701466903515332</v>
      </c>
      <c r="F27" s="4">
        <f t="shared" si="5"/>
        <v>27.293455764931327</v>
      </c>
      <c r="G27" s="4">
        <f t="shared" si="5"/>
        <v>16.882350125944583</v>
      </c>
      <c r="H27" s="4">
        <f t="shared" si="5"/>
        <v>5.8646953405017905</v>
      </c>
      <c r="I27" s="4">
        <f t="shared" si="5"/>
        <v>0</v>
      </c>
      <c r="J27" s="4">
        <f t="shared" si="5"/>
        <v>1.4193548387096775</v>
      </c>
      <c r="K27" s="4">
        <f t="shared" si="5"/>
        <v>0.967741935483871</v>
      </c>
      <c r="L27" s="4">
        <f t="shared" si="5"/>
        <v>3.6274644808743166</v>
      </c>
      <c r="M27" s="4">
        <f t="shared" si="5"/>
        <v>9.6757756318060384</v>
      </c>
      <c r="N27" s="4">
        <f t="shared" si="5"/>
        <v>19.973760162601632</v>
      </c>
      <c r="O27" s="4">
        <f t="shared" si="5"/>
        <v>38.183596311062779</v>
      </c>
      <c r="P27" s="4">
        <f t="shared" si="5"/>
        <v>16.596195202167006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 t="shared" ref="D28:P28" si="6">D14/$F$4</f>
        <v>3.6728715728715726</v>
      </c>
      <c r="E28" s="4">
        <f t="shared" si="6"/>
        <v>4.6039682539682545</v>
      </c>
      <c r="F28" s="4">
        <f t="shared" si="6"/>
        <v>2.9785714285714282</v>
      </c>
      <c r="G28" s="4">
        <f t="shared" si="6"/>
        <v>1.7998917748917749</v>
      </c>
      <c r="H28" s="4">
        <f t="shared" si="6"/>
        <v>0.85858585858585845</v>
      </c>
      <c r="I28" s="4">
        <f t="shared" si="6"/>
        <v>0</v>
      </c>
      <c r="J28" s="4">
        <f t="shared" si="6"/>
        <v>0.15873015873015875</v>
      </c>
      <c r="K28" s="4">
        <f t="shared" si="6"/>
        <v>0.10822510822510822</v>
      </c>
      <c r="L28" s="4">
        <f t="shared" si="6"/>
        <v>0.52059884559884562</v>
      </c>
      <c r="M28" s="4">
        <f t="shared" si="6"/>
        <v>0.88023088023088003</v>
      </c>
      <c r="N28" s="4">
        <f t="shared" si="6"/>
        <v>1.9478715728715732</v>
      </c>
      <c r="O28" s="4">
        <f t="shared" si="6"/>
        <v>4.9427849927849925</v>
      </c>
      <c r="P28" s="4">
        <f t="shared" si="6"/>
        <v>22.472330447330449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 t="shared" ref="D29:P29" si="7">D14/$F$3</f>
        <v>9.2556363636363628</v>
      </c>
      <c r="E29" s="4">
        <f t="shared" si="7"/>
        <v>11.602</v>
      </c>
      <c r="F29" s="4">
        <f t="shared" si="7"/>
        <v>7.5059999999999985</v>
      </c>
      <c r="G29" s="4">
        <f t="shared" si="7"/>
        <v>4.5357272727272724</v>
      </c>
      <c r="H29" s="4">
        <f t="shared" si="7"/>
        <v>2.1636363636363631</v>
      </c>
      <c r="I29" s="4">
        <f t="shared" si="7"/>
        <v>0</v>
      </c>
      <c r="J29" s="4">
        <f t="shared" si="7"/>
        <v>0.4</v>
      </c>
      <c r="K29" s="4">
        <f t="shared" si="7"/>
        <v>0.27272727272727271</v>
      </c>
      <c r="L29" s="4">
        <f t="shared" si="7"/>
        <v>1.3119090909090909</v>
      </c>
      <c r="M29" s="4">
        <f t="shared" si="7"/>
        <v>2.2181818181818178</v>
      </c>
      <c r="N29" s="4">
        <f t="shared" si="7"/>
        <v>4.9086363636363641</v>
      </c>
      <c r="O29" s="4">
        <f t="shared" si="7"/>
        <v>12.455818181818181</v>
      </c>
      <c r="P29" s="4">
        <f t="shared" si="7"/>
        <v>56.630272727272725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8">D15/$F$4</f>
        <v>3.9318893142588482</v>
      </c>
      <c r="E30" s="4">
        <f t="shared" si="8"/>
        <v>4.2122693841934682</v>
      </c>
      <c r="F30" s="4">
        <f t="shared" si="8"/>
        <v>3.0522984441301269</v>
      </c>
      <c r="G30" s="4">
        <f t="shared" si="8"/>
        <v>1.8270941694745222</v>
      </c>
      <c r="H30" s="4">
        <f t="shared" si="8"/>
        <v>0.65586419753086411</v>
      </c>
      <c r="I30" s="4">
        <f t="shared" si="8"/>
        <v>0</v>
      </c>
      <c r="J30" s="4">
        <f t="shared" si="8"/>
        <v>0.15873015873015875</v>
      </c>
      <c r="K30" s="4">
        <f t="shared" si="8"/>
        <v>0.10822510822510822</v>
      </c>
      <c r="L30" s="4">
        <f t="shared" si="8"/>
        <v>0.39258273602535898</v>
      </c>
      <c r="M30" s="4">
        <f t="shared" si="8"/>
        <v>1.0820672604112092</v>
      </c>
      <c r="N30" s="4">
        <f t="shared" si="8"/>
        <v>2.1616623552599168</v>
      </c>
      <c r="O30" s="4">
        <f t="shared" si="8"/>
        <v>4.2701713046282332</v>
      </c>
      <c r="P30" s="4">
        <f t="shared" si="8"/>
        <v>21.852854432867815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9">D15/$F$3</f>
        <v>9.9083610719322959</v>
      </c>
      <c r="E31" s="4">
        <f t="shared" si="9"/>
        <v>10.614918848167539</v>
      </c>
      <c r="F31" s="4">
        <f t="shared" si="9"/>
        <v>7.6917920792079197</v>
      </c>
      <c r="G31" s="4">
        <f t="shared" si="9"/>
        <v>4.6042773070757956</v>
      </c>
      <c r="H31" s="4">
        <f t="shared" si="9"/>
        <v>1.6527777777777775</v>
      </c>
      <c r="I31" s="4">
        <f t="shared" si="9"/>
        <v>0</v>
      </c>
      <c r="J31" s="4">
        <f t="shared" si="9"/>
        <v>0.4</v>
      </c>
      <c r="K31" s="4">
        <f t="shared" si="9"/>
        <v>0.27272727272727271</v>
      </c>
      <c r="L31" s="4">
        <f t="shared" si="9"/>
        <v>0.98930849478390459</v>
      </c>
      <c r="M31" s="4">
        <f t="shared" si="9"/>
        <v>2.726809496236247</v>
      </c>
      <c r="N31" s="4">
        <f t="shared" si="9"/>
        <v>5.4473891352549906</v>
      </c>
      <c r="O31" s="4">
        <f t="shared" si="9"/>
        <v>10.760831687663147</v>
      </c>
      <c r="P31" s="4">
        <f t="shared" si="9"/>
        <v>55.069193170826885</v>
      </c>
    </row>
    <row r="32" spans="1:28" ht="12" customHeight="1" x14ac:dyDescent="0.3">
      <c r="B32" s="47" t="s">
        <v>44</v>
      </c>
      <c r="C32" s="47" t="s">
        <v>48</v>
      </c>
      <c r="D32" s="4">
        <f t="shared" ref="D32:P32" si="10">1000*D28/D11</f>
        <v>5.1803548277455178</v>
      </c>
      <c r="E32" s="4">
        <f t="shared" si="10"/>
        <v>6.0261364580736316</v>
      </c>
      <c r="F32" s="4">
        <f t="shared" si="10"/>
        <v>4.9151343705799144</v>
      </c>
      <c r="G32" s="4">
        <f t="shared" si="10"/>
        <v>4.5337324304578717</v>
      </c>
      <c r="H32" s="4">
        <f t="shared" si="10"/>
        <v>3.9749345304900854</v>
      </c>
      <c r="I32" s="4" t="e">
        <f t="shared" si="10"/>
        <v>#DIV/0!</v>
      </c>
      <c r="J32" s="4" t="e">
        <f t="shared" si="10"/>
        <v>#DIV/0!</v>
      </c>
      <c r="K32" s="4">
        <f t="shared" si="10"/>
        <v>5.4112554112554117</v>
      </c>
      <c r="L32" s="4">
        <f t="shared" si="10"/>
        <v>2.1336018262247771</v>
      </c>
      <c r="M32" s="4">
        <f t="shared" si="10"/>
        <v>2.8032830580601278</v>
      </c>
      <c r="N32" s="4">
        <f t="shared" si="10"/>
        <v>3.9590885627471</v>
      </c>
      <c r="O32" s="4">
        <f t="shared" si="10"/>
        <v>6.1707677812546731</v>
      </c>
      <c r="P32" s="4">
        <f t="shared" si="10"/>
        <v>4.9249025744752242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4400*1.3</f>
        <v>5720</v>
      </c>
      <c r="E36" s="11" t="s">
        <v>26</v>
      </c>
      <c r="F36" s="51">
        <f>D36/$D$38</f>
        <v>0.57888877643963166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4161</v>
      </c>
      <c r="E37" s="55" t="s">
        <v>26</v>
      </c>
      <c r="F37" s="51">
        <f>D37/$D$38</f>
        <v>0.4211112235603684</v>
      </c>
      <c r="G37" s="11" t="s">
        <v>54</v>
      </c>
      <c r="H37" s="4"/>
      <c r="I37" s="4"/>
      <c r="J37" s="4"/>
      <c r="K37" s="4">
        <f>K36-D36</f>
        <v>2846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9881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0.33224375437777259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0.22361907755166183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82" si="11">DAYS360(B50,B51)</f>
        <v>11</v>
      </c>
      <c r="F51" s="4">
        <f t="shared" ref="F51:F82" si="12">(D51-D50)/E51</f>
        <v>8.1400000000000023</v>
      </c>
      <c r="G51" s="13">
        <v>195</v>
      </c>
      <c r="H51" s="57">
        <f t="shared" ref="H51:H56" si="13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1"/>
        <v>46</v>
      </c>
      <c r="F52" s="4">
        <f t="shared" si="12"/>
        <v>10.755217391304347</v>
      </c>
      <c r="G52" s="13">
        <v>1116</v>
      </c>
      <c r="H52" s="57">
        <f t="shared" si="13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1"/>
        <v>30</v>
      </c>
      <c r="F53" s="4">
        <f t="shared" si="12"/>
        <v>9.9096666666666646</v>
      </c>
      <c r="G53" s="13">
        <v>459</v>
      </c>
      <c r="H53" s="57">
        <f t="shared" si="13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1"/>
        <v>13</v>
      </c>
      <c r="F54" s="4">
        <f t="shared" si="12"/>
        <v>12.971538461538453</v>
      </c>
      <c r="G54" s="4">
        <v>173</v>
      </c>
      <c r="H54" s="57">
        <f t="shared" si="13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1"/>
        <v>56</v>
      </c>
      <c r="F55" s="4">
        <f t="shared" si="12"/>
        <v>10.850714285714288</v>
      </c>
      <c r="G55" s="4">
        <v>537</v>
      </c>
      <c r="H55" s="57">
        <f t="shared" si="13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1"/>
        <v>23</v>
      </c>
      <c r="F56" s="4">
        <f t="shared" si="12"/>
        <v>3.4986956521739043</v>
      </c>
      <c r="G56" s="4">
        <v>78.2</v>
      </c>
      <c r="H56" s="57">
        <f t="shared" si="13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1"/>
        <v>11</v>
      </c>
      <c r="F57" s="4">
        <f t="shared" si="12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1"/>
        <v>26</v>
      </c>
      <c r="F58" s="4">
        <f t="shared" si="12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1"/>
        <v>30</v>
      </c>
      <c r="F59" s="4">
        <f t="shared" si="12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1"/>
        <v>7</v>
      </c>
      <c r="F60" s="4">
        <f t="shared" si="12"/>
        <v>2.2728571428571223</v>
      </c>
      <c r="G60" s="4">
        <f>3.8*7</f>
        <v>26.599999999999998</v>
      </c>
      <c r="H60" s="57">
        <f t="shared" ref="H60:H76" si="14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1"/>
        <v>40</v>
      </c>
      <c r="F61" s="4">
        <f t="shared" si="12"/>
        <v>4.4192499999999999</v>
      </c>
      <c r="G61" s="4">
        <f>7*40</f>
        <v>280</v>
      </c>
      <c r="H61" s="57">
        <f t="shared" si="14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1"/>
        <v>21</v>
      </c>
      <c r="F62" s="4">
        <f t="shared" si="12"/>
        <v>8.9847619047618963</v>
      </c>
      <c r="G62" s="4">
        <f>21*12.5</f>
        <v>262.5</v>
      </c>
      <c r="H62" s="57">
        <f t="shared" si="14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1"/>
        <v>83</v>
      </c>
      <c r="F63" s="4">
        <f t="shared" si="12"/>
        <v>8.7620481927710845</v>
      </c>
      <c r="G63" s="4">
        <v>1643</v>
      </c>
      <c r="H63" s="57">
        <f t="shared" si="14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1"/>
        <v>65</v>
      </c>
      <c r="F64" s="4">
        <f t="shared" si="12"/>
        <v>8.8218461538461543</v>
      </c>
      <c r="G64" s="4">
        <f>524+505+80</f>
        <v>1109</v>
      </c>
      <c r="H64" s="57">
        <f t="shared" si="14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1"/>
        <v>28</v>
      </c>
      <c r="F65" s="4">
        <f t="shared" si="12"/>
        <v>6.7735714285714392</v>
      </c>
      <c r="G65" s="4">
        <v>372</v>
      </c>
      <c r="H65" s="57">
        <f t="shared" si="14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1"/>
        <v>21</v>
      </c>
      <c r="F66" s="4">
        <f t="shared" si="12"/>
        <v>4.8628571428571377</v>
      </c>
      <c r="G66" s="4">
        <v>125</v>
      </c>
      <c r="H66" s="57">
        <f t="shared" si="14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1"/>
        <v>31</v>
      </c>
      <c r="F67" s="4">
        <f t="shared" si="12"/>
        <v>2.5290322580645044</v>
      </c>
      <c r="G67" s="4">
        <v>8</v>
      </c>
      <c r="H67" s="57">
        <f t="shared" si="14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1"/>
        <v>52</v>
      </c>
      <c r="F68" s="4">
        <f t="shared" si="12"/>
        <v>1.4932692307692412</v>
      </c>
      <c r="G68" s="4">
        <v>5</v>
      </c>
      <c r="H68" s="57">
        <f t="shared" si="14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1"/>
        <v>61</v>
      </c>
      <c r="F69" s="4">
        <f t="shared" si="12"/>
        <v>3.4193442622950809</v>
      </c>
      <c r="G69" s="4">
        <f>70+18*(17-4)</f>
        <v>304</v>
      </c>
      <c r="H69" s="57">
        <f t="shared" si="14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1"/>
        <v>50</v>
      </c>
      <c r="F70" s="4">
        <f t="shared" si="12"/>
        <v>8.3852000000000046</v>
      </c>
      <c r="G70" s="4">
        <f>13.5*50</f>
        <v>675</v>
      </c>
      <c r="H70" s="57">
        <f t="shared" si="14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1"/>
        <v>15</v>
      </c>
      <c r="F71" s="4">
        <f t="shared" si="12"/>
        <v>8.0666666666666664</v>
      </c>
      <c r="G71" s="4">
        <f>14*15</f>
        <v>210</v>
      </c>
      <c r="H71" s="57">
        <f t="shared" si="14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1"/>
        <v>80</v>
      </c>
      <c r="F72" s="4">
        <f t="shared" si="12"/>
        <v>3.9747499999999945</v>
      </c>
      <c r="G72" s="4">
        <f>552+969</f>
        <v>1521</v>
      </c>
      <c r="H72" s="57">
        <f t="shared" si="14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1"/>
        <v>46</v>
      </c>
      <c r="F73" s="4">
        <f t="shared" si="12"/>
        <v>6.8530434782608651</v>
      </c>
      <c r="G73" s="4">
        <f>561+376</f>
        <v>937</v>
      </c>
      <c r="H73" s="57">
        <f t="shared" si="14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1"/>
        <v>30</v>
      </c>
      <c r="F74" s="4">
        <f t="shared" si="12"/>
        <v>2.7056666666666689</v>
      </c>
      <c r="G74" s="4">
        <v>23</v>
      </c>
      <c r="H74" s="57">
        <f t="shared" si="14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1"/>
        <v>32</v>
      </c>
      <c r="F75" s="4">
        <f t="shared" si="12"/>
        <v>1.9846875000000068</v>
      </c>
      <c r="G75" s="4">
        <v>37</v>
      </c>
      <c r="H75" s="57">
        <f t="shared" si="14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1"/>
        <v>27</v>
      </c>
      <c r="F76" s="4">
        <f t="shared" si="12"/>
        <v>1.7807407407407381</v>
      </c>
      <c r="G76" s="4">
        <v>0</v>
      </c>
      <c r="H76" s="57" t="e">
        <f t="shared" si="14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1"/>
        <v>14</v>
      </c>
      <c r="F77" s="4">
        <f t="shared" si="12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1"/>
        <v>22</v>
      </c>
      <c r="F78" s="4">
        <f t="shared" si="12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1"/>
        <v>48</v>
      </c>
      <c r="F79" s="4">
        <f t="shared" si="12"/>
        <v>4.2625000000000073</v>
      </c>
      <c r="G79" s="4">
        <f>125+234</f>
        <v>359</v>
      </c>
      <c r="H79" s="57">
        <f t="shared" ref="H79:H85" si="15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1"/>
        <v>69</v>
      </c>
      <c r="F80" s="4">
        <f t="shared" si="12"/>
        <v>7.9052173913043484</v>
      </c>
      <c r="G80" s="4">
        <v>1172</v>
      </c>
      <c r="H80" s="57">
        <f t="shared" si="15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1"/>
        <v>14</v>
      </c>
      <c r="F81" s="4">
        <f t="shared" si="12"/>
        <v>1.9807142857142546</v>
      </c>
      <c r="G81" s="4">
        <v>363</v>
      </c>
      <c r="H81" s="57">
        <f t="shared" si="15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1"/>
        <v>15</v>
      </c>
      <c r="F82" s="4">
        <f t="shared" si="12"/>
        <v>5.7480000000000171</v>
      </c>
      <c r="G82" s="4">
        <v>310</v>
      </c>
      <c r="H82" s="57">
        <f t="shared" si="15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ref="E83:E114" si="16">DAYS360(B82,B83)</f>
        <v>27</v>
      </c>
      <c r="F83" s="4">
        <f t="shared" ref="F83:F104" si="17">(D83-D82)/E83</f>
        <v>6.6633333333333278</v>
      </c>
      <c r="G83" s="4">
        <v>600</v>
      </c>
      <c r="H83" s="57">
        <f t="shared" si="15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16"/>
        <v>50</v>
      </c>
      <c r="F84" s="4">
        <f t="shared" si="17"/>
        <v>8.6689999999999969</v>
      </c>
      <c r="G84" s="4">
        <v>840</v>
      </c>
      <c r="H84" s="57">
        <f t="shared" si="15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16"/>
        <v>21</v>
      </c>
      <c r="F85" s="4">
        <f t="shared" si="17"/>
        <v>6.3404761904762168</v>
      </c>
      <c r="G85" s="4">
        <v>230</v>
      </c>
      <c r="H85" s="57">
        <f t="shared" si="15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16"/>
        <v>34</v>
      </c>
      <c r="F86" s="4">
        <f t="shared" si="17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16"/>
        <v>11</v>
      </c>
      <c r="F87" s="4">
        <f t="shared" si="17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16"/>
        <v>9</v>
      </c>
      <c r="F88" s="4">
        <f t="shared" si="17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16"/>
        <v>34</v>
      </c>
      <c r="F89" s="4">
        <f t="shared" si="17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16"/>
        <v>40</v>
      </c>
      <c r="F90" s="4">
        <f t="shared" si="17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16"/>
        <v>22</v>
      </c>
      <c r="F91" s="4">
        <f t="shared" si="17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16"/>
        <v>27</v>
      </c>
      <c r="F92" s="4">
        <f t="shared" si="17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16"/>
        <v>57</v>
      </c>
      <c r="F93" s="4">
        <f t="shared" si="17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>
        <v>43155</v>
      </c>
      <c r="D94" s="4">
        <v>9122.02</v>
      </c>
      <c r="E94" s="13">
        <f t="shared" si="16"/>
        <v>54</v>
      </c>
      <c r="F94" s="4">
        <f t="shared" si="17"/>
        <v>4.896111111111134</v>
      </c>
      <c r="G94" s="4">
        <v>1320</v>
      </c>
      <c r="H94" s="57">
        <f>(D94-D93)/G94</f>
        <v>0.20029545454545547</v>
      </c>
      <c r="I94" s="4"/>
      <c r="J94" s="4"/>
      <c r="K94" s="4"/>
      <c r="L94" s="4"/>
      <c r="M94" s="4"/>
      <c r="N94" s="4">
        <f>D94-D93</f>
        <v>264.39000000000124</v>
      </c>
      <c r="O94" s="4"/>
      <c r="P94" s="4"/>
    </row>
    <row r="95" spans="2:16" ht="12" customHeight="1" x14ac:dyDescent="0.25">
      <c r="B95" s="56">
        <v>43184</v>
      </c>
      <c r="D95" s="4">
        <v>9294.3700000000008</v>
      </c>
      <c r="E95" s="13">
        <f t="shared" si="16"/>
        <v>31</v>
      </c>
      <c r="F95" s="4">
        <f t="shared" si="17"/>
        <v>5.5596774193548502</v>
      </c>
      <c r="G95" s="4">
        <v>723</v>
      </c>
      <c r="H95" s="57">
        <f>(D95-D94)/G95</f>
        <v>0.23838174273858972</v>
      </c>
      <c r="I95" s="4"/>
      <c r="J95" s="4"/>
      <c r="K95" s="4"/>
      <c r="L95" s="4"/>
      <c r="M95" s="4"/>
      <c r="N95" s="4">
        <f>D95-D94</f>
        <v>172.35000000000036</v>
      </c>
      <c r="O95" s="4"/>
      <c r="P95" s="4">
        <f>D94-D83</f>
        <v>2005.7700000000004</v>
      </c>
    </row>
    <row r="96" spans="2:16" ht="12" customHeight="1" x14ac:dyDescent="0.25">
      <c r="B96" s="56">
        <v>43217</v>
      </c>
      <c r="D96" s="4">
        <v>9530.9</v>
      </c>
      <c r="E96" s="13">
        <f t="shared" si="16"/>
        <v>32</v>
      </c>
      <c r="F96" s="4">
        <f t="shared" si="17"/>
        <v>7.3915624999999636</v>
      </c>
      <c r="G96" s="4"/>
      <c r="H96" s="4"/>
      <c r="I96" s="4"/>
      <c r="J96" s="4"/>
      <c r="K96" s="4"/>
      <c r="L96" s="4"/>
      <c r="M96" s="4"/>
      <c r="N96" s="4">
        <f>D96-D95</f>
        <v>236.52999999999884</v>
      </c>
      <c r="O96" s="4"/>
      <c r="P96" s="4"/>
    </row>
    <row r="97" spans="2:17" ht="12" customHeight="1" x14ac:dyDescent="0.25">
      <c r="B97" s="56">
        <v>43241</v>
      </c>
      <c r="D97" s="4">
        <v>9598.7999999999993</v>
      </c>
      <c r="E97" s="13">
        <f t="shared" si="16"/>
        <v>24</v>
      </c>
      <c r="F97" s="4">
        <f t="shared" si="17"/>
        <v>2.8291666666666515</v>
      </c>
      <c r="G97" s="4"/>
      <c r="H97" s="4"/>
      <c r="I97" s="4"/>
      <c r="J97" s="4"/>
      <c r="K97" s="4"/>
      <c r="L97" s="4"/>
      <c r="M97" s="4"/>
      <c r="N97" s="4">
        <f>D97-D96</f>
        <v>67.899999999999636</v>
      </c>
      <c r="O97" s="4"/>
      <c r="P97" s="4"/>
    </row>
    <row r="98" spans="2:17" ht="12" customHeight="1" x14ac:dyDescent="0.25">
      <c r="B98" s="56">
        <v>43269</v>
      </c>
      <c r="D98" s="4">
        <v>9628.2800000000007</v>
      </c>
      <c r="E98" s="13">
        <f t="shared" si="16"/>
        <v>27</v>
      </c>
      <c r="F98" s="4">
        <f t="shared" si="17"/>
        <v>1.0918518518519031</v>
      </c>
      <c r="G98" s="4"/>
      <c r="H98" s="4"/>
      <c r="I98" s="4"/>
      <c r="J98" s="4"/>
      <c r="K98" s="4"/>
      <c r="L98" s="4"/>
      <c r="M98" s="4"/>
      <c r="N98" s="4">
        <f>D98-D97</f>
        <v>29.480000000001382</v>
      </c>
      <c r="O98" s="4"/>
      <c r="P98" s="4">
        <f>D98-D87</f>
        <v>1804.2700000000004</v>
      </c>
    </row>
    <row r="99" spans="2:17" ht="12" customHeight="1" x14ac:dyDescent="0.25">
      <c r="B99" s="56">
        <v>43285</v>
      </c>
      <c r="D99" s="4">
        <v>9644.2900000000009</v>
      </c>
      <c r="E99" s="13">
        <f t="shared" si="16"/>
        <v>16</v>
      </c>
      <c r="F99" s="4">
        <f t="shared" si="17"/>
        <v>1.0006250000000136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7" ht="12" customHeight="1" x14ac:dyDescent="0.25">
      <c r="B100" s="56">
        <v>43298</v>
      </c>
      <c r="D100" s="4">
        <v>9661.08</v>
      </c>
      <c r="E100" s="13">
        <f t="shared" si="16"/>
        <v>13</v>
      </c>
      <c r="F100" s="4">
        <f t="shared" si="17"/>
        <v>1.2915384615383887</v>
      </c>
      <c r="G100" s="4"/>
      <c r="H100" s="4"/>
      <c r="I100" s="4"/>
      <c r="J100" s="4"/>
      <c r="K100" s="4"/>
      <c r="L100" s="4"/>
      <c r="M100" s="4"/>
      <c r="N100" s="4">
        <f>D100-D99</f>
        <v>16.789999999999054</v>
      </c>
      <c r="O100" s="4"/>
      <c r="P100" s="4"/>
    </row>
    <row r="101" spans="2:17" ht="12" customHeight="1" x14ac:dyDescent="0.25">
      <c r="B101" s="56">
        <v>43317</v>
      </c>
      <c r="D101" s="4">
        <v>9702.4</v>
      </c>
      <c r="E101" s="13">
        <f t="shared" si="16"/>
        <v>18</v>
      </c>
      <c r="F101" s="4">
        <f t="shared" si="17"/>
        <v>2.2955555555555396</v>
      </c>
      <c r="G101" s="4"/>
      <c r="H101" s="4"/>
      <c r="I101" s="4"/>
      <c r="J101" s="4"/>
      <c r="K101" s="4"/>
      <c r="L101" s="4"/>
      <c r="M101" s="4"/>
      <c r="N101" s="4">
        <f>D101-D99</f>
        <v>58.109999999998763</v>
      </c>
      <c r="O101" s="4">
        <f>N101-N100</f>
        <v>41.319999999999709</v>
      </c>
      <c r="P101" s="4">
        <f>D101-D89</f>
        <v>1831.29</v>
      </c>
    </row>
    <row r="102" spans="2:17" ht="12" customHeight="1" x14ac:dyDescent="0.25">
      <c r="B102" s="56">
        <v>43364</v>
      </c>
      <c r="D102" s="4">
        <v>9762.31</v>
      </c>
      <c r="E102" s="13">
        <f t="shared" si="16"/>
        <v>46</v>
      </c>
      <c r="F102" s="4">
        <f t="shared" si="17"/>
        <v>1.302391304347823</v>
      </c>
      <c r="G102" s="4"/>
      <c r="H102" s="4"/>
      <c r="I102" s="4"/>
      <c r="J102" s="4"/>
      <c r="K102" s="4"/>
      <c r="L102" s="4"/>
      <c r="M102" s="4"/>
      <c r="N102" s="4">
        <f>D102-D101</f>
        <v>59.909999999999854</v>
      </c>
      <c r="O102" s="4"/>
      <c r="P102" s="4">
        <f>D102-D90</f>
        <v>1812.3099999999995</v>
      </c>
    </row>
    <row r="103" spans="2:17" ht="12" customHeight="1" x14ac:dyDescent="0.25">
      <c r="B103" s="56">
        <v>43401</v>
      </c>
      <c r="D103" s="4">
        <v>9930.7800000000007</v>
      </c>
      <c r="E103" s="13">
        <f t="shared" si="16"/>
        <v>37</v>
      </c>
      <c r="F103" s="4">
        <f t="shared" si="17"/>
        <v>4.5532432432432746</v>
      </c>
      <c r="G103" s="4"/>
      <c r="H103" s="4"/>
      <c r="I103" s="4"/>
      <c r="J103" s="4"/>
      <c r="K103" s="4"/>
      <c r="L103" s="4"/>
      <c r="M103" s="4"/>
      <c r="N103" s="4">
        <f>D103-D101</f>
        <v>228.38000000000102</v>
      </c>
      <c r="O103" s="4"/>
      <c r="P103" s="4"/>
      <c r="Q103" s="14"/>
    </row>
    <row r="104" spans="2:17" ht="12" customHeight="1" x14ac:dyDescent="0.25">
      <c r="B104" s="56">
        <v>43442</v>
      </c>
      <c r="D104" s="4">
        <v>10300.530000000001</v>
      </c>
      <c r="E104" s="13">
        <f t="shared" si="16"/>
        <v>40</v>
      </c>
      <c r="F104" s="4">
        <f t="shared" si="17"/>
        <v>9.2437500000000004</v>
      </c>
      <c r="G104" s="4">
        <f>SUM(M11:N11)</f>
        <v>806</v>
      </c>
      <c r="H104" s="57">
        <f>(D104-D103)/G104</f>
        <v>0.45874689826302728</v>
      </c>
      <c r="I104" s="4"/>
      <c r="J104" s="4"/>
      <c r="K104" s="4"/>
      <c r="L104" s="4"/>
      <c r="M104" s="4"/>
      <c r="N104" s="4">
        <f>D104-D103</f>
        <v>369.75</v>
      </c>
      <c r="O104" s="4"/>
      <c r="P104" s="4"/>
    </row>
    <row r="105" spans="2:17" ht="12" customHeight="1" x14ac:dyDescent="0.25">
      <c r="B105" s="56">
        <v>43464</v>
      </c>
      <c r="D105" s="4">
        <v>531.5</v>
      </c>
      <c r="E105" s="13">
        <f t="shared" si="16"/>
        <v>22</v>
      </c>
      <c r="F105" s="4">
        <f>(D105-D104+10000)/E105</f>
        <v>10.498636363636335</v>
      </c>
      <c r="G105" s="4"/>
      <c r="H105" s="4"/>
      <c r="I105" s="4"/>
      <c r="J105" s="4"/>
      <c r="K105" s="4"/>
      <c r="L105" s="4"/>
      <c r="M105" s="4"/>
      <c r="N105" s="4">
        <f>D105-D104+10000</f>
        <v>230.96999999999935</v>
      </c>
      <c r="O105" s="4"/>
      <c r="P105" s="4">
        <f>D105-D93+10000</f>
        <v>1673.8700000000008</v>
      </c>
    </row>
    <row r="106" spans="2:17" ht="12" customHeight="1" x14ac:dyDescent="0.25">
      <c r="B106" s="56">
        <v>43547</v>
      </c>
      <c r="D106" s="4">
        <v>994.26</v>
      </c>
      <c r="E106" s="13">
        <f t="shared" si="16"/>
        <v>83</v>
      </c>
      <c r="F106" s="4">
        <f t="shared" ref="F106:F131" si="18">(D106-D105)/E106</f>
        <v>5.5754216867469877</v>
      </c>
      <c r="G106" s="4"/>
      <c r="H106" s="4"/>
      <c r="I106" s="4"/>
      <c r="J106" s="4"/>
      <c r="K106" s="4"/>
      <c r="L106" s="4"/>
      <c r="M106" s="4"/>
      <c r="N106" s="4">
        <f t="shared" ref="N106:N131" si="19">D106-D105</f>
        <v>462.76</v>
      </c>
      <c r="O106" s="4"/>
      <c r="P106" s="4">
        <f>D106-D95+10000</f>
        <v>1699.8899999999994</v>
      </c>
    </row>
    <row r="107" spans="2:17" ht="12" customHeight="1" x14ac:dyDescent="0.25">
      <c r="B107" s="56">
        <v>43582</v>
      </c>
      <c r="D107" s="4">
        <v>1190.8699999999999</v>
      </c>
      <c r="E107" s="13">
        <f t="shared" si="16"/>
        <v>34</v>
      </c>
      <c r="F107" s="4">
        <f t="shared" si="18"/>
        <v>5.7826470588235264</v>
      </c>
      <c r="G107" s="4"/>
      <c r="H107" s="4"/>
      <c r="I107" s="4"/>
      <c r="J107" s="4"/>
      <c r="K107" s="4"/>
      <c r="L107" s="4"/>
      <c r="M107" s="4"/>
      <c r="N107" s="4">
        <f t="shared" si="19"/>
        <v>196.6099999999999</v>
      </c>
      <c r="O107" s="4"/>
      <c r="P107" s="4">
        <f>D107-D96+10000</f>
        <v>1659.9700000000012</v>
      </c>
    </row>
    <row r="108" spans="2:17" ht="12" customHeight="1" x14ac:dyDescent="0.25">
      <c r="B108" s="56">
        <v>43622</v>
      </c>
      <c r="D108" s="4">
        <v>1333.82</v>
      </c>
      <c r="E108" s="13">
        <f t="shared" si="16"/>
        <v>39</v>
      </c>
      <c r="F108" s="4">
        <f t="shared" si="18"/>
        <v>3.6653846153846166</v>
      </c>
      <c r="G108" s="4"/>
      <c r="H108" s="4"/>
      <c r="I108" s="4"/>
      <c r="J108" s="4"/>
      <c r="K108" s="4"/>
      <c r="L108" s="4"/>
      <c r="M108" s="4"/>
      <c r="N108" s="4">
        <f t="shared" si="19"/>
        <v>142.95000000000005</v>
      </c>
      <c r="O108" s="4"/>
      <c r="P108" s="4">
        <f>D108-D98+10000</f>
        <v>1705.5399999999991</v>
      </c>
    </row>
    <row r="109" spans="2:17" ht="12" customHeight="1" x14ac:dyDescent="0.25">
      <c r="B109" s="56">
        <v>43670</v>
      </c>
      <c r="D109" s="4">
        <v>1398.19</v>
      </c>
      <c r="E109" s="13">
        <f t="shared" si="16"/>
        <v>48</v>
      </c>
      <c r="F109" s="4">
        <f t="shared" si="18"/>
        <v>1.3410416666666691</v>
      </c>
      <c r="G109" s="4"/>
      <c r="H109" s="4"/>
      <c r="I109" s="4"/>
      <c r="J109" s="4"/>
      <c r="K109" s="4"/>
      <c r="L109" s="4"/>
      <c r="M109" s="4"/>
      <c r="N109" s="4">
        <f t="shared" si="19"/>
        <v>64.370000000000118</v>
      </c>
      <c r="O109" s="4"/>
      <c r="P109" s="4"/>
    </row>
    <row r="110" spans="2:17" ht="12" customHeight="1" x14ac:dyDescent="0.25">
      <c r="B110" s="56">
        <v>43681</v>
      </c>
      <c r="D110" s="4">
        <v>1419.41</v>
      </c>
      <c r="E110" s="13">
        <f t="shared" si="16"/>
        <v>10</v>
      </c>
      <c r="F110" s="4">
        <f t="shared" si="18"/>
        <v>2.1220000000000026</v>
      </c>
      <c r="G110" s="4"/>
      <c r="H110" s="4"/>
      <c r="I110" s="4"/>
      <c r="J110" s="4"/>
      <c r="K110" s="4"/>
      <c r="L110" s="4"/>
      <c r="M110" s="4"/>
      <c r="N110" s="4">
        <f t="shared" si="19"/>
        <v>21.220000000000027</v>
      </c>
      <c r="O110" s="4"/>
      <c r="P110" s="4">
        <f>D110-D101+10000</f>
        <v>1717.0100000000002</v>
      </c>
    </row>
    <row r="111" spans="2:17" ht="12" customHeight="1" x14ac:dyDescent="0.3">
      <c r="B111" s="56">
        <v>43744</v>
      </c>
      <c r="D111" s="47">
        <v>1581.94</v>
      </c>
      <c r="E111" s="13">
        <f t="shared" si="16"/>
        <v>62</v>
      </c>
      <c r="F111" s="4">
        <f t="shared" si="18"/>
        <v>2.6214516129032255</v>
      </c>
      <c r="G111" s="4"/>
      <c r="H111" s="4"/>
      <c r="I111" s="4"/>
      <c r="J111" s="4"/>
      <c r="K111" s="4"/>
      <c r="L111" s="4"/>
      <c r="M111" s="4"/>
      <c r="N111" s="4">
        <f t="shared" si="19"/>
        <v>162.52999999999997</v>
      </c>
      <c r="O111" s="4"/>
      <c r="P111" s="4"/>
    </row>
    <row r="112" spans="2:17" ht="12" customHeight="1" x14ac:dyDescent="0.25">
      <c r="B112" s="56">
        <v>43806</v>
      </c>
      <c r="D112" s="4">
        <v>2125.79</v>
      </c>
      <c r="E112" s="13">
        <f t="shared" si="16"/>
        <v>61</v>
      </c>
      <c r="F112" s="4">
        <f t="shared" si="18"/>
        <v>8.9155737704918021</v>
      </c>
      <c r="G112" s="4"/>
      <c r="H112" s="4"/>
      <c r="I112" s="4"/>
      <c r="J112" s="4"/>
      <c r="K112" s="4"/>
      <c r="L112" s="4"/>
      <c r="M112" s="4"/>
      <c r="N112" s="4">
        <f t="shared" si="19"/>
        <v>543.84999999999991</v>
      </c>
      <c r="O112" s="4"/>
      <c r="P112" s="4">
        <f>D112-D104+10000</f>
        <v>1825.2599999999993</v>
      </c>
    </row>
    <row r="113" spans="2:18" ht="12" customHeight="1" x14ac:dyDescent="0.25">
      <c r="B113" s="56">
        <v>43827</v>
      </c>
      <c r="D113" s="4">
        <v>2323.56</v>
      </c>
      <c r="E113" s="13">
        <f t="shared" si="16"/>
        <v>21</v>
      </c>
      <c r="F113" s="4">
        <f t="shared" si="18"/>
        <v>9.4176190476190467</v>
      </c>
      <c r="G113" s="4"/>
      <c r="H113" s="4"/>
      <c r="I113" s="4"/>
      <c r="J113" s="4"/>
      <c r="K113" s="4"/>
      <c r="L113" s="4"/>
      <c r="M113" s="4"/>
      <c r="N113" s="4">
        <f t="shared" si="19"/>
        <v>197.76999999999998</v>
      </c>
      <c r="O113" s="4"/>
      <c r="P113" s="4">
        <f>D113-D105</f>
        <v>1792.06</v>
      </c>
    </row>
    <row r="114" spans="2:18" ht="12" customHeight="1" x14ac:dyDescent="0.25">
      <c r="B114" s="56">
        <v>43876</v>
      </c>
      <c r="D114" s="4">
        <v>2777.25</v>
      </c>
      <c r="E114" s="13">
        <f t="shared" si="16"/>
        <v>47</v>
      </c>
      <c r="F114" s="4">
        <f t="shared" si="18"/>
        <v>9.6529787234042566</v>
      </c>
      <c r="G114" s="4"/>
      <c r="H114" s="4"/>
      <c r="I114" s="4"/>
      <c r="J114" s="4"/>
      <c r="K114" s="4"/>
      <c r="L114" s="4"/>
      <c r="M114" s="4"/>
      <c r="N114" s="4">
        <f t="shared" si="19"/>
        <v>453.69000000000005</v>
      </c>
      <c r="O114" s="4"/>
      <c r="P114" s="4"/>
    </row>
    <row r="115" spans="2:18" ht="12" customHeight="1" x14ac:dyDescent="0.25">
      <c r="B115" s="56">
        <v>43953</v>
      </c>
      <c r="D115" s="4">
        <v>3386.03</v>
      </c>
      <c r="E115" s="13">
        <f t="shared" ref="E115:E131" si="20">DAYS360(B114,B115)</f>
        <v>77</v>
      </c>
      <c r="F115" s="4">
        <f t="shared" si="18"/>
        <v>7.9062337662337692</v>
      </c>
      <c r="G115" s="4"/>
      <c r="H115" s="4"/>
      <c r="I115" s="4"/>
      <c r="J115" s="4"/>
      <c r="K115" s="4"/>
      <c r="L115" s="4"/>
      <c r="M115" s="4"/>
      <c r="N115" s="4">
        <f t="shared" si="19"/>
        <v>608.7800000000002</v>
      </c>
      <c r="O115" s="4"/>
      <c r="P115" s="4">
        <f>D115-D107</f>
        <v>2195.1600000000003</v>
      </c>
    </row>
    <row r="116" spans="2:18" ht="12" customHeight="1" x14ac:dyDescent="0.25">
      <c r="B116" s="56">
        <v>43972</v>
      </c>
      <c r="D116" s="4">
        <v>3469.97</v>
      </c>
      <c r="E116" s="13">
        <f t="shared" si="20"/>
        <v>19</v>
      </c>
      <c r="F116" s="4">
        <f t="shared" si="18"/>
        <v>4.4178947368420838</v>
      </c>
      <c r="G116" s="4"/>
      <c r="H116" s="4"/>
      <c r="I116" s="4"/>
      <c r="J116" s="4"/>
      <c r="K116" s="4"/>
      <c r="L116" s="4"/>
      <c r="M116" s="4"/>
      <c r="N116" s="4">
        <f t="shared" si="19"/>
        <v>83.9399999999996</v>
      </c>
      <c r="O116" s="4"/>
      <c r="P116" s="4"/>
    </row>
    <row r="117" spans="2:18" ht="12" customHeight="1" x14ac:dyDescent="0.25">
      <c r="B117" s="56">
        <v>43994</v>
      </c>
      <c r="D117" s="4">
        <v>3511.84</v>
      </c>
      <c r="E117" s="13">
        <f t="shared" si="20"/>
        <v>21</v>
      </c>
      <c r="F117" s="4">
        <f t="shared" si="18"/>
        <v>1.9938095238095404</v>
      </c>
      <c r="G117" s="4"/>
      <c r="H117" s="4"/>
      <c r="I117" s="4"/>
      <c r="J117" s="4"/>
      <c r="K117" s="4"/>
      <c r="L117" s="4"/>
      <c r="M117" s="4"/>
      <c r="N117" s="4">
        <f t="shared" si="19"/>
        <v>41.870000000000346</v>
      </c>
      <c r="O117" s="4"/>
      <c r="P117" s="4"/>
    </row>
    <row r="118" spans="2:18" ht="12" customHeight="1" x14ac:dyDescent="0.25">
      <c r="B118" s="56">
        <v>44038</v>
      </c>
      <c r="D118" s="4">
        <v>3570.78</v>
      </c>
      <c r="E118" s="13">
        <f t="shared" si="20"/>
        <v>44</v>
      </c>
      <c r="F118" s="4">
        <f t="shared" si="18"/>
        <v>1.3395454545454557</v>
      </c>
      <c r="G118" s="4"/>
      <c r="H118" s="4"/>
      <c r="I118" s="4"/>
      <c r="J118" s="4"/>
      <c r="K118" s="4"/>
      <c r="L118" s="4"/>
      <c r="M118" s="4"/>
      <c r="N118" s="4">
        <f t="shared" si="19"/>
        <v>58.940000000000055</v>
      </c>
      <c r="O118" s="4"/>
      <c r="P118" s="4">
        <f>D118-D109</f>
        <v>2172.59</v>
      </c>
    </row>
    <row r="119" spans="2:18" ht="12" customHeight="1" x14ac:dyDescent="0.25">
      <c r="B119" s="56">
        <v>44072</v>
      </c>
      <c r="D119" s="4">
        <v>3600.26</v>
      </c>
      <c r="E119" s="13">
        <f t="shared" si="20"/>
        <v>33</v>
      </c>
      <c r="F119" s="4">
        <f t="shared" si="18"/>
        <v>0.89333333333333387</v>
      </c>
      <c r="G119" s="4"/>
      <c r="H119" s="4"/>
      <c r="I119" s="4"/>
      <c r="J119" s="4"/>
      <c r="K119" s="4"/>
      <c r="L119" s="4"/>
      <c r="M119" s="4"/>
      <c r="N119" s="4">
        <f t="shared" si="19"/>
        <v>29.480000000000018</v>
      </c>
      <c r="O119" s="4"/>
      <c r="P119" s="4"/>
    </row>
    <row r="120" spans="2:18" ht="12" customHeight="1" x14ac:dyDescent="0.25">
      <c r="B120" s="56">
        <v>44101</v>
      </c>
      <c r="D120" s="4">
        <v>3662.21</v>
      </c>
      <c r="E120" s="13">
        <f t="shared" si="20"/>
        <v>28</v>
      </c>
      <c r="F120" s="4">
        <f t="shared" si="18"/>
        <v>2.2124999999999937</v>
      </c>
      <c r="G120" s="4"/>
      <c r="H120" s="4"/>
      <c r="I120" s="4"/>
      <c r="J120" s="4"/>
      <c r="K120" s="4"/>
      <c r="L120" s="4"/>
      <c r="M120" s="4"/>
      <c r="N120" s="4">
        <f t="shared" si="19"/>
        <v>61.949999999999818</v>
      </c>
      <c r="O120" s="4"/>
      <c r="P120" s="4">
        <f>D120-D111</f>
        <v>2080.27</v>
      </c>
    </row>
    <row r="121" spans="2:18" ht="12" customHeight="1" x14ac:dyDescent="0.25">
      <c r="B121" s="56">
        <v>44117</v>
      </c>
      <c r="D121" s="4">
        <v>3707.35</v>
      </c>
      <c r="E121" s="13">
        <f t="shared" si="20"/>
        <v>16</v>
      </c>
      <c r="F121" s="4">
        <f t="shared" si="18"/>
        <v>2.821249999999992</v>
      </c>
      <c r="G121" s="4"/>
      <c r="H121" s="4"/>
      <c r="I121" s="4"/>
      <c r="J121" s="4"/>
      <c r="K121" s="4"/>
      <c r="L121" s="4"/>
      <c r="M121" s="4"/>
      <c r="N121" s="4">
        <f t="shared" si="19"/>
        <v>45.139999999999873</v>
      </c>
      <c r="O121" s="4"/>
      <c r="P121" s="4">
        <f>D121-D111</f>
        <v>2125.41</v>
      </c>
    </row>
    <row r="122" spans="2:18" ht="12" customHeight="1" x14ac:dyDescent="0.25">
      <c r="B122" s="56">
        <v>44201</v>
      </c>
      <c r="D122" s="4">
        <v>4438.38</v>
      </c>
      <c r="E122" s="13">
        <f t="shared" si="20"/>
        <v>82</v>
      </c>
      <c r="F122" s="4">
        <f t="shared" si="18"/>
        <v>8.9150000000000027</v>
      </c>
      <c r="G122" s="4"/>
      <c r="H122" s="4"/>
      <c r="I122" s="4"/>
      <c r="J122" s="4"/>
      <c r="K122" s="4"/>
      <c r="L122" s="4"/>
      <c r="M122" s="4"/>
      <c r="N122" s="4">
        <f t="shared" si="19"/>
        <v>731.0300000000002</v>
      </c>
      <c r="O122" s="4">
        <f>B122-B113</f>
        <v>374</v>
      </c>
      <c r="P122" s="4">
        <f>D122-D113</f>
        <v>2114.8200000000002</v>
      </c>
    </row>
    <row r="123" spans="2:18" ht="12" customHeight="1" x14ac:dyDescent="0.3">
      <c r="B123" s="56">
        <v>44287</v>
      </c>
      <c r="D123" s="4">
        <v>4926.05</v>
      </c>
      <c r="E123" s="13">
        <f t="shared" si="20"/>
        <v>86</v>
      </c>
      <c r="F123" s="4">
        <f t="shared" si="18"/>
        <v>5.6705813953488384</v>
      </c>
      <c r="G123" s="4"/>
      <c r="H123" s="4"/>
      <c r="I123" s="4"/>
      <c r="J123" s="4"/>
      <c r="K123" s="4"/>
      <c r="L123" s="4"/>
      <c r="M123" s="4"/>
      <c r="N123" s="4">
        <f t="shared" si="19"/>
        <v>487.67000000000007</v>
      </c>
      <c r="O123" s="4">
        <f>B123-B115</f>
        <v>334</v>
      </c>
      <c r="P123" s="4">
        <f>D123-D115</f>
        <v>1540.02</v>
      </c>
      <c r="R123" s="47">
        <f>P123/O123*365</f>
        <v>1682.9559880239522</v>
      </c>
    </row>
    <row r="124" spans="2:18" ht="12" customHeight="1" x14ac:dyDescent="0.25">
      <c r="B124" s="56">
        <v>44332</v>
      </c>
      <c r="D124" s="4">
        <v>5146.6099999999997</v>
      </c>
      <c r="E124" s="13">
        <f t="shared" si="20"/>
        <v>45</v>
      </c>
      <c r="F124" s="4">
        <f t="shared" si="18"/>
        <v>4.901333333333322</v>
      </c>
      <c r="G124" s="4"/>
      <c r="H124" s="4"/>
      <c r="I124" s="4"/>
      <c r="J124" s="4"/>
      <c r="K124" s="4"/>
      <c r="L124" s="4"/>
      <c r="M124" s="4"/>
      <c r="N124" s="4">
        <f t="shared" si="19"/>
        <v>220.55999999999949</v>
      </c>
      <c r="O124" s="4">
        <f>B124-B116</f>
        <v>360</v>
      </c>
      <c r="P124" s="4">
        <f>D124-D116</f>
        <v>1676.6399999999999</v>
      </c>
    </row>
    <row r="125" spans="2:18" ht="12" customHeight="1" x14ac:dyDescent="0.25">
      <c r="B125" s="56">
        <v>44353</v>
      </c>
      <c r="D125" s="4">
        <v>5199.4399999999996</v>
      </c>
      <c r="E125" s="13">
        <f t="shared" si="20"/>
        <v>20</v>
      </c>
      <c r="F125" s="4">
        <f t="shared" si="18"/>
        <v>2.6414999999999962</v>
      </c>
      <c r="G125" s="4"/>
      <c r="H125" s="4"/>
      <c r="I125" s="4"/>
      <c r="J125" s="4"/>
      <c r="K125" s="4"/>
      <c r="L125" s="4"/>
      <c r="M125" s="4"/>
      <c r="N125" s="4">
        <f t="shared" si="19"/>
        <v>52.829999999999927</v>
      </c>
      <c r="O125" s="4">
        <f>B125-B117</f>
        <v>359</v>
      </c>
      <c r="P125" s="4">
        <f>D125-D117</f>
        <v>1687.5999999999995</v>
      </c>
    </row>
    <row r="126" spans="2:18" ht="12" customHeight="1" x14ac:dyDescent="0.25">
      <c r="B126" s="56">
        <v>44379</v>
      </c>
      <c r="D126" s="4">
        <v>5251.48</v>
      </c>
      <c r="E126" s="13">
        <f t="shared" si="20"/>
        <v>26</v>
      </c>
      <c r="F126" s="4">
        <f t="shared" si="18"/>
        <v>2.0015384615384599</v>
      </c>
      <c r="G126" s="4"/>
      <c r="H126" s="4"/>
      <c r="I126" s="4"/>
      <c r="J126" s="4"/>
      <c r="K126" s="4"/>
      <c r="L126" s="4"/>
      <c r="M126" s="4"/>
      <c r="N126" s="4">
        <f t="shared" si="19"/>
        <v>52.039999999999964</v>
      </c>
      <c r="O126" s="4">
        <f>B126-B118</f>
        <v>341</v>
      </c>
      <c r="P126" s="4">
        <f>D126-D118</f>
        <v>1680.6999999999994</v>
      </c>
    </row>
    <row r="127" spans="2:18" ht="12" customHeight="1" x14ac:dyDescent="0.25">
      <c r="B127" s="56">
        <v>44397</v>
      </c>
      <c r="D127" s="4">
        <v>5295.15</v>
      </c>
      <c r="E127" s="13">
        <f t="shared" si="20"/>
        <v>18</v>
      </c>
      <c r="F127" s="4">
        <f t="shared" si="18"/>
        <v>2.4261111111111151</v>
      </c>
      <c r="G127" s="4"/>
      <c r="H127" s="4"/>
      <c r="I127" s="4"/>
      <c r="J127" s="4"/>
      <c r="K127" s="4"/>
      <c r="L127" s="4"/>
      <c r="M127" s="4"/>
      <c r="N127" s="4">
        <f t="shared" si="19"/>
        <v>43.670000000000073</v>
      </c>
      <c r="O127" s="4">
        <f>B127-B118</f>
        <v>359</v>
      </c>
      <c r="P127" s="4">
        <f>D127-D118</f>
        <v>1724.3699999999994</v>
      </c>
    </row>
    <row r="128" spans="2:18" ht="12" customHeight="1" x14ac:dyDescent="0.25">
      <c r="B128" s="56">
        <v>44428</v>
      </c>
      <c r="D128" s="4">
        <v>5324.43</v>
      </c>
      <c r="E128" s="13">
        <f t="shared" si="20"/>
        <v>30</v>
      </c>
      <c r="F128" s="4">
        <f t="shared" si="18"/>
        <v>0.97600000000002185</v>
      </c>
      <c r="G128" s="4"/>
      <c r="H128" s="4"/>
      <c r="I128" s="4"/>
      <c r="J128" s="4"/>
      <c r="K128" s="4"/>
      <c r="L128" s="4"/>
      <c r="M128" s="4"/>
      <c r="N128" s="4">
        <f t="shared" si="19"/>
        <v>29.280000000000655</v>
      </c>
      <c r="O128" s="4">
        <f>B128-B119</f>
        <v>356</v>
      </c>
      <c r="P128" s="4">
        <f>D128-D119</f>
        <v>1724.17</v>
      </c>
    </row>
    <row r="129" spans="2:16" ht="12" customHeight="1" x14ac:dyDescent="0.25">
      <c r="B129" s="56">
        <v>44479</v>
      </c>
      <c r="D129" s="4">
        <v>5511.95</v>
      </c>
      <c r="E129" s="13">
        <f t="shared" si="20"/>
        <v>50</v>
      </c>
      <c r="F129" s="4">
        <f t="shared" si="18"/>
        <v>3.7503999999999906</v>
      </c>
      <c r="G129" s="4"/>
      <c r="H129" s="4"/>
      <c r="I129" s="4"/>
      <c r="J129" s="4"/>
      <c r="K129" s="4"/>
      <c r="L129" s="4"/>
      <c r="M129" s="4"/>
      <c r="N129" s="4">
        <f t="shared" si="19"/>
        <v>187.51999999999953</v>
      </c>
      <c r="O129" s="4">
        <f>B129-B121</f>
        <v>362</v>
      </c>
      <c r="P129" s="4">
        <f>D129-D121</f>
        <v>1804.6</v>
      </c>
    </row>
    <row r="130" spans="2:16" ht="12" customHeight="1" x14ac:dyDescent="0.25">
      <c r="B130" s="58">
        <v>44527</v>
      </c>
      <c r="D130" s="4">
        <v>5819.9</v>
      </c>
      <c r="E130" s="13">
        <f t="shared" si="20"/>
        <v>47</v>
      </c>
      <c r="F130" s="4">
        <f t="shared" si="18"/>
        <v>6.552127659574464</v>
      </c>
      <c r="G130" s="4"/>
      <c r="H130" s="4"/>
      <c r="I130" s="4"/>
      <c r="J130" s="4"/>
      <c r="K130" s="4"/>
      <c r="L130" s="4"/>
      <c r="M130" s="4"/>
      <c r="N130" s="4">
        <f t="shared" si="19"/>
        <v>307.94999999999982</v>
      </c>
      <c r="O130" s="4"/>
      <c r="P130" s="4"/>
    </row>
    <row r="131" spans="2:16" ht="12" customHeight="1" x14ac:dyDescent="0.25">
      <c r="B131" s="56">
        <v>44563</v>
      </c>
      <c r="D131" s="4">
        <v>5910.14</v>
      </c>
      <c r="E131" s="13">
        <f t="shared" si="20"/>
        <v>35</v>
      </c>
      <c r="F131" s="4">
        <f t="shared" si="18"/>
        <v>2.5782857142857338</v>
      </c>
      <c r="G131" s="4"/>
      <c r="H131" s="4"/>
      <c r="I131" s="4"/>
      <c r="J131" s="4"/>
      <c r="K131" s="4"/>
      <c r="L131" s="4"/>
      <c r="M131" s="4"/>
      <c r="N131" s="4">
        <f t="shared" si="19"/>
        <v>90.240000000000691</v>
      </c>
      <c r="O131" s="4">
        <f>B131-B122</f>
        <v>362</v>
      </c>
      <c r="P131" s="4">
        <f>D131-D122</f>
        <v>1471.7600000000002</v>
      </c>
    </row>
    <row r="132" spans="2:16" ht="12" customHeight="1" x14ac:dyDescent="0.25">
      <c r="B132" s="5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 ht="12" customHeight="1" x14ac:dyDescent="0.25">
      <c r="B133" s="5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 ht="12" customHeight="1" x14ac:dyDescent="0.25">
      <c r="B134" s="5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 ht="12" customHeight="1" x14ac:dyDescent="0.25">
      <c r="B135" s="5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 ht="12" customHeight="1" x14ac:dyDescent="0.25">
      <c r="B136" s="5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 ht="12" customHeight="1" x14ac:dyDescent="0.25">
      <c r="B137" s="5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 ht="12" customHeight="1" x14ac:dyDescent="0.25">
      <c r="B138" s="5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 ht="12" customHeight="1" x14ac:dyDescent="0.25">
      <c r="B139" s="5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 ht="12" customHeight="1" x14ac:dyDescent="0.25">
      <c r="B140" s="5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 ht="12" customHeight="1" x14ac:dyDescent="0.25">
      <c r="B141" s="5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 ht="12" customHeight="1" x14ac:dyDescent="0.25">
      <c r="B142" s="5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 ht="12" customHeight="1" x14ac:dyDescent="0.25">
      <c r="B143" s="5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 ht="12" customHeight="1" x14ac:dyDescent="0.25">
      <c r="B144" s="5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 ht="12" customHeight="1" x14ac:dyDescent="0.25">
      <c r="B145" s="5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topLeftCell="C1" zoomScaleNormal="100" workbookViewId="0">
      <selection activeCell="P8" sqref="P8:P15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8" width="10.5546875" customWidth="1"/>
    <col min="19" max="19" width="8.6640625" customWidth="1"/>
    <col min="20" max="20" width="11.5546875" customWidth="1"/>
    <col min="21" max="25" width="8.6640625" customWidth="1"/>
    <col min="26" max="26" width="14.6640625" customWidth="1"/>
    <col min="27" max="28" width="8.6640625" customWidth="1"/>
  </cols>
  <sheetData>
    <row r="1" spans="1:28" ht="12" customHeight="1" x14ac:dyDescent="0.3">
      <c r="A1" s="2" t="s">
        <v>0</v>
      </c>
      <c r="D1" s="3">
        <v>2020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5"/>
      <c r="S1" s="6"/>
      <c r="T1" s="7"/>
    </row>
    <row r="2" spans="1:28" ht="11.25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5"/>
      <c r="S2" s="9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11</v>
      </c>
      <c r="L3" s="11" t="s">
        <v>5</v>
      </c>
      <c r="M3" s="4"/>
      <c r="N3" s="4"/>
      <c r="O3" s="4"/>
      <c r="P3" s="4"/>
      <c r="Q3" s="8"/>
      <c r="R3" s="60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SUM(I9:K9)/92</f>
        <v>11.002282608695653</v>
      </c>
      <c r="L4" s="11" t="s">
        <v>5</v>
      </c>
      <c r="M4" s="11"/>
      <c r="N4" s="11"/>
      <c r="O4" s="11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customHeight="1" x14ac:dyDescent="0.25">
      <c r="A7" s="19"/>
      <c r="B7" s="20"/>
      <c r="C7" s="21"/>
      <c r="D7" s="22">
        <v>31</v>
      </c>
      <c r="E7" s="22">
        <v>29</v>
      </c>
      <c r="F7" s="22">
        <v>31</v>
      </c>
      <c r="G7" s="22">
        <v>30</v>
      </c>
      <c r="H7" s="22">
        <v>31</v>
      </c>
      <c r="I7" s="22">
        <v>30</v>
      </c>
      <c r="J7" s="22">
        <v>31</v>
      </c>
      <c r="K7" s="22">
        <v>31</v>
      </c>
      <c r="L7" s="22">
        <v>30</v>
      </c>
      <c r="M7" s="22">
        <v>31</v>
      </c>
      <c r="N7" s="22">
        <v>30</v>
      </c>
      <c r="O7" s="22">
        <v>31</v>
      </c>
      <c r="P7" s="23">
        <f>SUM(D7:O7)</f>
        <v>366</v>
      </c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2.75" customHeight="1" x14ac:dyDescent="0.25">
      <c r="A8" s="25">
        <v>2020</v>
      </c>
      <c r="B8" s="26" t="s">
        <v>23</v>
      </c>
      <c r="C8" s="30" t="s">
        <v>65</v>
      </c>
      <c r="D8" s="28">
        <v>0</v>
      </c>
      <c r="E8" s="28">
        <v>-1.2</v>
      </c>
      <c r="F8" s="28">
        <v>0.6</v>
      </c>
      <c r="G8" s="28">
        <v>3</v>
      </c>
      <c r="H8" s="28">
        <v>9.1</v>
      </c>
      <c r="I8" s="28">
        <v>17.7</v>
      </c>
      <c r="J8" s="28">
        <v>16</v>
      </c>
      <c r="K8" s="28">
        <v>15.8</v>
      </c>
      <c r="L8" s="28">
        <v>12</v>
      </c>
      <c r="M8" s="28">
        <v>7.1</v>
      </c>
      <c r="N8" s="28">
        <v>2.6</v>
      </c>
      <c r="O8" s="28">
        <v>-1.5</v>
      </c>
      <c r="P8" s="28">
        <f>AVERAGE(D8:O8)</f>
        <v>6.7666666666666657</v>
      </c>
      <c r="T8" s="29"/>
      <c r="U8" s="8"/>
      <c r="Z8" s="83"/>
      <c r="AA8" s="83"/>
    </row>
    <row r="9" spans="1:28" ht="12" customHeight="1" x14ac:dyDescent="0.25">
      <c r="A9" s="25">
        <v>2020</v>
      </c>
      <c r="B9" s="26" t="s">
        <v>25</v>
      </c>
      <c r="C9" s="30" t="s">
        <v>26</v>
      </c>
      <c r="D9" s="31">
        <v>1019.05</v>
      </c>
      <c r="E9" s="31">
        <v>1074</v>
      </c>
      <c r="F9" s="32">
        <v>904</v>
      </c>
      <c r="G9" s="32">
        <v>682</v>
      </c>
      <c r="H9" s="32">
        <v>511.62</v>
      </c>
      <c r="I9" s="32">
        <v>353.88</v>
      </c>
      <c r="J9" s="32">
        <v>301.51</v>
      </c>
      <c r="K9" s="32">
        <v>356.82</v>
      </c>
      <c r="L9" s="32">
        <v>489.96</v>
      </c>
      <c r="M9" s="32">
        <v>655.96</v>
      </c>
      <c r="N9" s="32">
        <v>820.81</v>
      </c>
      <c r="O9" s="32">
        <v>1222.76</v>
      </c>
      <c r="P9" s="33">
        <f>SUM(D9:O9)</f>
        <v>8392.3700000000008</v>
      </c>
      <c r="Q9" s="34"/>
      <c r="R9" s="34">
        <f>SUM(D9:M9)+SUM('2019'!N9:O9)</f>
        <v>8108.1900000000005</v>
      </c>
      <c r="S9" s="35"/>
      <c r="T9" s="36"/>
      <c r="U9" s="34"/>
      <c r="Z9" s="37"/>
      <c r="AB9" s="37"/>
    </row>
    <row r="10" spans="1:28" ht="12" customHeight="1" x14ac:dyDescent="0.25">
      <c r="A10" s="25">
        <v>2020</v>
      </c>
      <c r="B10" s="26" t="s">
        <v>28</v>
      </c>
      <c r="C10" s="30" t="s">
        <v>26</v>
      </c>
      <c r="D10" s="43">
        <f>31*9.65</f>
        <v>299.15000000000003</v>
      </c>
      <c r="E10" s="43">
        <v>250</v>
      </c>
      <c r="F10" s="43">
        <v>250</v>
      </c>
      <c r="G10" s="43">
        <v>150</v>
      </c>
      <c r="H10" s="43">
        <f>4.5*31</f>
        <v>139.5</v>
      </c>
      <c r="I10" s="43">
        <v>40</v>
      </c>
      <c r="J10" s="39">
        <v>60</v>
      </c>
      <c r="K10" s="43">
        <v>30</v>
      </c>
      <c r="L10" s="43">
        <v>62</v>
      </c>
      <c r="M10" s="43">
        <v>150</v>
      </c>
      <c r="N10" s="43">
        <v>250</v>
      </c>
      <c r="O10" s="43">
        <v>350</v>
      </c>
      <c r="P10" s="43">
        <f>SUM(D10:O10)</f>
        <v>2030.65</v>
      </c>
      <c r="Q10" s="34"/>
      <c r="R10" s="34">
        <f>SUM(D10:N10)+SUM('2019'!O10)</f>
        <v>1973.6000000000001</v>
      </c>
      <c r="T10" s="36">
        <f>P10+'2019'!T10</f>
        <v>24909.230811381905</v>
      </c>
      <c r="U10" s="34"/>
      <c r="V10" s="35"/>
    </row>
    <row r="11" spans="1:28" ht="12" customHeight="1" x14ac:dyDescent="0.25">
      <c r="A11" s="25">
        <v>2020</v>
      </c>
      <c r="B11" s="40" t="s">
        <v>29</v>
      </c>
      <c r="C11" s="30" t="s">
        <v>66</v>
      </c>
      <c r="D11" s="32">
        <v>526</v>
      </c>
      <c r="E11" s="32">
        <v>528</v>
      </c>
      <c r="F11" s="32">
        <v>510</v>
      </c>
      <c r="G11" s="32">
        <v>422</v>
      </c>
      <c r="H11" s="32">
        <v>211</v>
      </c>
      <c r="I11" s="32">
        <v>0</v>
      </c>
      <c r="J11" s="32">
        <v>0</v>
      </c>
      <c r="K11" s="32">
        <v>5</v>
      </c>
      <c r="L11" s="32">
        <v>98</v>
      </c>
      <c r="M11" s="32">
        <v>293</v>
      </c>
      <c r="N11" s="32">
        <v>433</v>
      </c>
      <c r="O11" s="32">
        <v>573</v>
      </c>
      <c r="P11" s="32">
        <f>SUM(D11:O11)</f>
        <v>3599</v>
      </c>
      <c r="Q11" s="42"/>
      <c r="R11" s="42"/>
      <c r="S11" s="35"/>
      <c r="T11" s="34"/>
      <c r="U11" s="34"/>
      <c r="V11" s="35"/>
    </row>
    <row r="12" spans="1:28" ht="12" customHeight="1" x14ac:dyDescent="0.25">
      <c r="A12" s="25">
        <v>2020</v>
      </c>
      <c r="B12" s="40" t="s">
        <v>31</v>
      </c>
      <c r="C12" s="30" t="s">
        <v>66</v>
      </c>
      <c r="D12" s="32">
        <v>759</v>
      </c>
      <c r="E12" s="32">
        <v>699</v>
      </c>
      <c r="F12" s="32">
        <v>621</v>
      </c>
      <c r="G12" s="32">
        <v>403</v>
      </c>
      <c r="H12" s="32">
        <v>165</v>
      </c>
      <c r="I12" s="32">
        <v>22</v>
      </c>
      <c r="J12" s="32">
        <v>5</v>
      </c>
      <c r="K12" s="32">
        <v>28</v>
      </c>
      <c r="L12" s="32">
        <v>184</v>
      </c>
      <c r="M12" s="32">
        <v>386</v>
      </c>
      <c r="N12" s="32">
        <v>546</v>
      </c>
      <c r="O12" s="32">
        <v>692</v>
      </c>
      <c r="P12" s="32">
        <v>4510</v>
      </c>
      <c r="R12" s="42"/>
      <c r="T12" s="36"/>
      <c r="U12" s="34"/>
      <c r="V12" s="34"/>
    </row>
    <row r="13" spans="1:28" ht="12" customHeight="1" x14ac:dyDescent="0.25">
      <c r="A13" s="25">
        <v>2020</v>
      </c>
      <c r="B13" s="26" t="s">
        <v>32</v>
      </c>
      <c r="C13" s="30" t="s">
        <v>26</v>
      </c>
      <c r="D13" s="32">
        <f t="shared" ref="D13:O13" si="0">$K$3*D7</f>
        <v>341</v>
      </c>
      <c r="E13" s="32">
        <f t="shared" si="0"/>
        <v>319</v>
      </c>
      <c r="F13" s="32">
        <f t="shared" si="0"/>
        <v>341</v>
      </c>
      <c r="G13" s="32">
        <f t="shared" si="0"/>
        <v>330</v>
      </c>
      <c r="H13" s="32">
        <f t="shared" si="0"/>
        <v>341</v>
      </c>
      <c r="I13" s="32">
        <f t="shared" si="0"/>
        <v>330</v>
      </c>
      <c r="J13" s="32">
        <f t="shared" si="0"/>
        <v>341</v>
      </c>
      <c r="K13" s="32">
        <f t="shared" si="0"/>
        <v>341</v>
      </c>
      <c r="L13" s="32">
        <f t="shared" si="0"/>
        <v>330</v>
      </c>
      <c r="M13" s="32">
        <f t="shared" si="0"/>
        <v>341</v>
      </c>
      <c r="N13" s="32">
        <f t="shared" si="0"/>
        <v>330</v>
      </c>
      <c r="O13" s="32">
        <f t="shared" si="0"/>
        <v>341</v>
      </c>
      <c r="P13" s="32">
        <f>SUM(D13:O13)</f>
        <v>4026</v>
      </c>
      <c r="T13" s="36"/>
      <c r="U13" s="34"/>
    </row>
    <row r="14" spans="1:28" ht="12" customHeight="1" x14ac:dyDescent="0.25">
      <c r="A14" s="25">
        <v>2020</v>
      </c>
      <c r="B14" s="26" t="s">
        <v>33</v>
      </c>
      <c r="C14" s="30" t="s">
        <v>26</v>
      </c>
      <c r="D14" s="32">
        <f>D9-D13</f>
        <v>678.05</v>
      </c>
      <c r="E14" s="32">
        <f>E9-E13</f>
        <v>755</v>
      </c>
      <c r="F14" s="32">
        <f>F9-F13</f>
        <v>563</v>
      </c>
      <c r="G14" s="32">
        <f>G9-G13</f>
        <v>352</v>
      </c>
      <c r="H14" s="32">
        <f>H9-H13</f>
        <v>170.62</v>
      </c>
      <c r="I14" s="43">
        <f>I10</f>
        <v>40</v>
      </c>
      <c r="J14" s="43">
        <f>J10</f>
        <v>60</v>
      </c>
      <c r="K14" s="43">
        <f>K10</f>
        <v>30</v>
      </c>
      <c r="L14" s="32">
        <f>L9-L13</f>
        <v>159.95999999999998</v>
      </c>
      <c r="M14" s="32">
        <f>M9-M13</f>
        <v>314.96000000000004</v>
      </c>
      <c r="N14" s="32">
        <f>N9-N13</f>
        <v>490.80999999999995</v>
      </c>
      <c r="O14" s="32">
        <f>O9-O13</f>
        <v>881.76</v>
      </c>
      <c r="P14" s="32">
        <f>SUM(D14:O14)</f>
        <v>4496.16</v>
      </c>
      <c r="R14" s="35"/>
      <c r="T14" s="36"/>
      <c r="U14" s="34"/>
    </row>
    <row r="15" spans="1:28" ht="12" customHeight="1" x14ac:dyDescent="0.25">
      <c r="A15" s="25">
        <v>2020</v>
      </c>
      <c r="B15" s="26" t="s">
        <v>34</v>
      </c>
      <c r="C15" s="30" t="s">
        <v>26</v>
      </c>
      <c r="D15" s="32">
        <f>IF(D14&lt;0,0,((D12/D11))*D14)</f>
        <v>978.40294676806081</v>
      </c>
      <c r="E15" s="32">
        <f>IF(E14&lt;0,0,((E12/E11))*E14)</f>
        <v>999.5170454545455</v>
      </c>
      <c r="F15" s="32">
        <f>IF(F14&lt;0,0,((F12/F11))*F14)</f>
        <v>685.53529411764703</v>
      </c>
      <c r="G15" s="32">
        <f>IF(G14&lt;0,0,((G12/G11))*G14)</f>
        <v>336.15165876777252</v>
      </c>
      <c r="H15" s="32">
        <f>IF(H14&lt;0,0,((H12/H11))*H14)</f>
        <v>133.42322274881516</v>
      </c>
      <c r="I15" s="32">
        <f>I14</f>
        <v>40</v>
      </c>
      <c r="J15" s="32">
        <f>J14</f>
        <v>60</v>
      </c>
      <c r="K15" s="32">
        <f>K14</f>
        <v>30</v>
      </c>
      <c r="L15" s="32">
        <f>IF(L14&lt;0,0,((L12/L11))*L14)</f>
        <v>300.33306122448977</v>
      </c>
      <c r="M15" s="32">
        <f>IF(M14&lt;0,0,((M12/M11))*M14)</f>
        <v>414.93023890784991</v>
      </c>
      <c r="N15" s="32">
        <f>IF(N14&lt;0,0,((N12/N11))*N14)</f>
        <v>618.89667436489594</v>
      </c>
      <c r="O15" s="32">
        <f>IF(O14&lt;0,0,((O12/O11))*O14)</f>
        <v>1064.8829319371728</v>
      </c>
      <c r="P15" s="33">
        <f>SUM(D15:O15)</f>
        <v>5662.0730742912492</v>
      </c>
      <c r="Q15" s="44"/>
      <c r="R15" s="45">
        <f>P14-P10</f>
        <v>2465.5099999999998</v>
      </c>
      <c r="T15" s="36"/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1">D9/D7</f>
        <v>32.872580645161285</v>
      </c>
      <c r="E18" s="4">
        <f t="shared" si="1"/>
        <v>37.03448275862069</v>
      </c>
      <c r="F18" s="4">
        <f t="shared" si="1"/>
        <v>29.161290322580644</v>
      </c>
      <c r="G18" s="4">
        <f t="shared" si="1"/>
        <v>22.733333333333334</v>
      </c>
      <c r="H18" s="4">
        <f t="shared" si="1"/>
        <v>16.503870967741936</v>
      </c>
      <c r="I18" s="4">
        <f t="shared" si="1"/>
        <v>11.795999999999999</v>
      </c>
      <c r="J18" s="4">
        <f t="shared" si="1"/>
        <v>9.7261290322580649</v>
      </c>
      <c r="K18" s="4">
        <f t="shared" si="1"/>
        <v>11.510322580645161</v>
      </c>
      <c r="L18" s="4">
        <f t="shared" si="1"/>
        <v>16.332000000000001</v>
      </c>
      <c r="M18" s="4">
        <f t="shared" si="1"/>
        <v>21.16</v>
      </c>
      <c r="N18" s="4">
        <f t="shared" si="1"/>
        <v>27.360333333333333</v>
      </c>
      <c r="O18" s="4">
        <f t="shared" si="1"/>
        <v>39.443870967741937</v>
      </c>
      <c r="P18" s="4"/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1019.05</v>
      </c>
      <c r="E19" s="4">
        <f>SUM($D$9:E9)</f>
        <v>2093.0500000000002</v>
      </c>
      <c r="F19" s="4">
        <f>SUM($D$9:F9)</f>
        <v>2997.05</v>
      </c>
      <c r="G19" s="4">
        <f>SUM($D$9:G9)</f>
        <v>3679.05</v>
      </c>
      <c r="H19" s="4">
        <f>SUM($D$9:H9)</f>
        <v>4190.67</v>
      </c>
      <c r="I19" s="4">
        <f>SUM($D$9:I9)</f>
        <v>4544.55</v>
      </c>
      <c r="J19" s="4">
        <f>SUM($D$9:J9)</f>
        <v>4846.0600000000004</v>
      </c>
      <c r="K19" s="4">
        <f>SUM($D$9:K9)</f>
        <v>5202.88</v>
      </c>
      <c r="L19" s="4">
        <f>SUM($D$9:L9)</f>
        <v>5692.84</v>
      </c>
      <c r="M19" s="4">
        <f>SUM($D$9:M9)</f>
        <v>6348.8</v>
      </c>
      <c r="N19" s="4">
        <f>SUM($D$9:N9)</f>
        <v>7169.6100000000006</v>
      </c>
      <c r="O19" s="4">
        <f>SUM($D$9:O9)</f>
        <v>8392.3700000000008</v>
      </c>
      <c r="P19" s="4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299.15000000000003</v>
      </c>
      <c r="E20" s="4">
        <f>SUM($D$10:E10)</f>
        <v>549.15000000000009</v>
      </c>
      <c r="F20" s="4">
        <f>SUM($D$10:F10)</f>
        <v>799.15000000000009</v>
      </c>
      <c r="G20" s="4">
        <f>SUM($D$10:G10)</f>
        <v>949.15000000000009</v>
      </c>
      <c r="H20" s="4">
        <f>SUM($D$10:H10)</f>
        <v>1088.6500000000001</v>
      </c>
      <c r="I20" s="4">
        <f>SUM($D$10:I10)</f>
        <v>1128.6500000000001</v>
      </c>
      <c r="J20" s="4">
        <f>SUM($D$10:J10)</f>
        <v>1188.6500000000001</v>
      </c>
      <c r="K20" s="4">
        <f>SUM($D$10:K10)</f>
        <v>1218.6500000000001</v>
      </c>
      <c r="L20" s="4">
        <f>SUM($D$10:L10)</f>
        <v>1280.6500000000001</v>
      </c>
      <c r="M20" s="4">
        <f>SUM($D$10:M10)</f>
        <v>1430.65</v>
      </c>
      <c r="N20" s="4">
        <f>SUM($D$10:N10)</f>
        <v>1680.65</v>
      </c>
      <c r="O20" s="4">
        <f>SUM($D$10:O10)</f>
        <v>2030.65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678.05</v>
      </c>
      <c r="E21" s="4">
        <f>SUM($D$14:E14)</f>
        <v>1433.05</v>
      </c>
      <c r="F21" s="4">
        <f>SUM($D$14:F14)</f>
        <v>1996.05</v>
      </c>
      <c r="G21" s="4">
        <f>SUM($D$14:G14)</f>
        <v>2348.0500000000002</v>
      </c>
      <c r="H21" s="4">
        <f>SUM($D$14:H14)</f>
        <v>2518.67</v>
      </c>
      <c r="I21" s="4">
        <f>SUM($D$14:I14)</f>
        <v>2558.67</v>
      </c>
      <c r="J21" s="4">
        <f>SUM($D$14:J14)</f>
        <v>2618.67</v>
      </c>
      <c r="K21" s="4">
        <f>SUM($D$14:K14)</f>
        <v>2648.67</v>
      </c>
      <c r="L21" s="4">
        <f>SUM($D$14:L14)</f>
        <v>2808.63</v>
      </c>
      <c r="M21" s="4">
        <f>SUM($D$14:M14)</f>
        <v>3123.59</v>
      </c>
      <c r="N21" s="4">
        <f>SUM($D$14:N14)</f>
        <v>3614.4</v>
      </c>
      <c r="O21" s="4">
        <f>SUM($D$14:O14)</f>
        <v>4496.16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2">D14/D9</f>
        <v>0.66537461361071581</v>
      </c>
      <c r="E24" s="51">
        <f t="shared" si="2"/>
        <v>0.70297951582867779</v>
      </c>
      <c r="F24" s="51">
        <f t="shared" si="2"/>
        <v>0.62278761061946908</v>
      </c>
      <c r="G24" s="51">
        <f t="shared" si="2"/>
        <v>0.5161290322580645</v>
      </c>
      <c r="H24" s="51">
        <f t="shared" si="2"/>
        <v>0.33348969938626327</v>
      </c>
      <c r="I24" s="51">
        <f t="shared" si="2"/>
        <v>0.11303266644060134</v>
      </c>
      <c r="J24" s="51">
        <f t="shared" si="2"/>
        <v>0.19899837484660543</v>
      </c>
      <c r="K24" s="51">
        <f t="shared" si="2"/>
        <v>8.4076004708256269E-2</v>
      </c>
      <c r="L24" s="51">
        <f t="shared" si="2"/>
        <v>0.32647563066372765</v>
      </c>
      <c r="M24" s="51">
        <f t="shared" si="2"/>
        <v>0.48015122873345939</v>
      </c>
      <c r="N24" s="51">
        <f t="shared" si="2"/>
        <v>0.59795811454538805</v>
      </c>
      <c r="O24" s="51">
        <f t="shared" si="2"/>
        <v>0.72112270600935591</v>
      </c>
      <c r="P24" s="51">
        <f t="shared" si="2"/>
        <v>0.535743776787725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3">D14/D11</f>
        <v>1.2890684410646387</v>
      </c>
      <c r="E25" s="4">
        <f t="shared" si="3"/>
        <v>1.4299242424242424</v>
      </c>
      <c r="F25" s="4">
        <f t="shared" si="3"/>
        <v>1.1039215686274511</v>
      </c>
      <c r="G25" s="4">
        <f t="shared" si="3"/>
        <v>0.83412322274881512</v>
      </c>
      <c r="H25" s="4">
        <f t="shared" si="3"/>
        <v>0.80862559241706167</v>
      </c>
      <c r="I25" s="4" t="e">
        <f t="shared" si="3"/>
        <v>#DIV/0!</v>
      </c>
      <c r="J25" s="4" t="e">
        <f t="shared" si="3"/>
        <v>#DIV/0!</v>
      </c>
      <c r="K25" s="4">
        <f t="shared" si="3"/>
        <v>6</v>
      </c>
      <c r="L25" s="4">
        <f t="shared" si="3"/>
        <v>1.6322448979591835</v>
      </c>
      <c r="M25" s="4">
        <f t="shared" si="3"/>
        <v>1.074948805460751</v>
      </c>
      <c r="N25" s="4">
        <f t="shared" si="3"/>
        <v>1.1335103926096997</v>
      </c>
      <c r="O25" s="4">
        <f t="shared" si="3"/>
        <v>1.5388481675392669</v>
      </c>
      <c r="P25" s="4">
        <f t="shared" si="3"/>
        <v>1.2492803556543484</v>
      </c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 t="shared" ref="D26:P26" si="4">D14/D7</f>
        <v>21.872580645161289</v>
      </c>
      <c r="E26" s="4">
        <f t="shared" si="4"/>
        <v>26.03448275862069</v>
      </c>
      <c r="F26" s="4">
        <f t="shared" si="4"/>
        <v>18.161290322580644</v>
      </c>
      <c r="G26" s="4">
        <f t="shared" si="4"/>
        <v>11.733333333333333</v>
      </c>
      <c r="H26" s="4">
        <f t="shared" si="4"/>
        <v>5.5038709677419355</v>
      </c>
      <c r="I26" s="4">
        <f t="shared" si="4"/>
        <v>1.3333333333333333</v>
      </c>
      <c r="J26" s="4">
        <f t="shared" si="4"/>
        <v>1.935483870967742</v>
      </c>
      <c r="K26" s="4">
        <f t="shared" si="4"/>
        <v>0.967741935483871</v>
      </c>
      <c r="L26" s="4">
        <f t="shared" si="4"/>
        <v>5.331999999999999</v>
      </c>
      <c r="M26" s="4">
        <f t="shared" si="4"/>
        <v>10.160000000000002</v>
      </c>
      <c r="N26" s="4">
        <f t="shared" si="4"/>
        <v>16.360333333333333</v>
      </c>
      <c r="O26" s="4">
        <f t="shared" si="4"/>
        <v>28.443870967741937</v>
      </c>
      <c r="P26" s="4">
        <f t="shared" si="4"/>
        <v>12.284590163934427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 t="shared" ref="D27:P27" si="5">D15/D7</f>
        <v>31.561385379614865</v>
      </c>
      <c r="E27" s="4">
        <f t="shared" si="5"/>
        <v>34.466105015673982</v>
      </c>
      <c r="F27" s="4">
        <f t="shared" si="5"/>
        <v>22.11404174573055</v>
      </c>
      <c r="G27" s="4">
        <f t="shared" si="5"/>
        <v>11.205055292259084</v>
      </c>
      <c r="H27" s="4">
        <f t="shared" si="5"/>
        <v>4.3039749273811347</v>
      </c>
      <c r="I27" s="4">
        <f t="shared" si="5"/>
        <v>1.3333333333333333</v>
      </c>
      <c r="J27" s="4">
        <f t="shared" si="5"/>
        <v>1.935483870967742</v>
      </c>
      <c r="K27" s="4">
        <f t="shared" si="5"/>
        <v>0.967741935483871</v>
      </c>
      <c r="L27" s="4">
        <f t="shared" si="5"/>
        <v>10.011102040816326</v>
      </c>
      <c r="M27" s="4">
        <f t="shared" si="5"/>
        <v>13.384846416382254</v>
      </c>
      <c r="N27" s="4">
        <f t="shared" si="5"/>
        <v>20.629889145496531</v>
      </c>
      <c r="O27" s="4">
        <f t="shared" si="5"/>
        <v>34.351062320553957</v>
      </c>
      <c r="P27" s="4">
        <f t="shared" si="5"/>
        <v>15.470145011724725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 t="shared" ref="D28:P28" si="6">D14/$F$4</f>
        <v>2.4460678210678211</v>
      </c>
      <c r="E28" s="4">
        <f t="shared" si="6"/>
        <v>2.7236652236652237</v>
      </c>
      <c r="F28" s="4">
        <f t="shared" si="6"/>
        <v>2.031024531024531</v>
      </c>
      <c r="G28" s="4">
        <f t="shared" si="6"/>
        <v>1.26984126984127</v>
      </c>
      <c r="H28" s="4">
        <f t="shared" si="6"/>
        <v>0.61551226551226557</v>
      </c>
      <c r="I28" s="4">
        <f t="shared" si="6"/>
        <v>0.14430014430014432</v>
      </c>
      <c r="J28" s="4">
        <f t="shared" si="6"/>
        <v>0.21645021645021645</v>
      </c>
      <c r="K28" s="4">
        <f t="shared" si="6"/>
        <v>0.10822510822510822</v>
      </c>
      <c r="L28" s="4">
        <f t="shared" si="6"/>
        <v>0.57705627705627704</v>
      </c>
      <c r="M28" s="4">
        <f t="shared" si="6"/>
        <v>1.1362193362193365</v>
      </c>
      <c r="N28" s="4">
        <f t="shared" si="6"/>
        <v>1.7705988455988455</v>
      </c>
      <c r="O28" s="4">
        <f t="shared" si="6"/>
        <v>3.1809523809523812</v>
      </c>
      <c r="P28" s="4">
        <f t="shared" si="6"/>
        <v>16.219913419913421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 t="shared" ref="D29:P29" si="7">D14/$F$3</f>
        <v>6.1640909090909091</v>
      </c>
      <c r="E29" s="4">
        <f t="shared" si="7"/>
        <v>6.8636363636363633</v>
      </c>
      <c r="F29" s="4">
        <f t="shared" si="7"/>
        <v>5.1181818181818182</v>
      </c>
      <c r="G29" s="4">
        <f t="shared" si="7"/>
        <v>3.2</v>
      </c>
      <c r="H29" s="4">
        <f t="shared" si="7"/>
        <v>1.5510909090909091</v>
      </c>
      <c r="I29" s="4">
        <f t="shared" si="7"/>
        <v>0.36363636363636365</v>
      </c>
      <c r="J29" s="4">
        <f t="shared" si="7"/>
        <v>0.54545454545454541</v>
      </c>
      <c r="K29" s="4">
        <f t="shared" si="7"/>
        <v>0.27272727272727271</v>
      </c>
      <c r="L29" s="4">
        <f t="shared" si="7"/>
        <v>1.454181818181818</v>
      </c>
      <c r="M29" s="4">
        <f t="shared" si="7"/>
        <v>2.8632727272727276</v>
      </c>
      <c r="N29" s="4">
        <f t="shared" si="7"/>
        <v>4.4619090909090904</v>
      </c>
      <c r="O29" s="4">
        <f t="shared" si="7"/>
        <v>8.016</v>
      </c>
      <c r="P29" s="4">
        <f t="shared" si="7"/>
        <v>40.874181818181818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8">D15/$F$4</f>
        <v>3.5295921600579394</v>
      </c>
      <c r="E30" s="4">
        <f t="shared" si="8"/>
        <v>3.6057613472386203</v>
      </c>
      <c r="F30" s="4">
        <f t="shared" si="8"/>
        <v>2.4730710466004582</v>
      </c>
      <c r="G30" s="4">
        <f t="shared" si="8"/>
        <v>1.2126683216730612</v>
      </c>
      <c r="H30" s="4">
        <f t="shared" si="8"/>
        <v>0.48132475739110814</v>
      </c>
      <c r="I30" s="4">
        <f t="shared" si="8"/>
        <v>0.14430014430014432</v>
      </c>
      <c r="J30" s="4">
        <f t="shared" si="8"/>
        <v>0.21645021645021645</v>
      </c>
      <c r="K30" s="4">
        <f t="shared" si="8"/>
        <v>0.10822510822510822</v>
      </c>
      <c r="L30" s="4">
        <f t="shared" si="8"/>
        <v>1.0834526018199486</v>
      </c>
      <c r="M30" s="4">
        <f t="shared" si="8"/>
        <v>1.4968623337224023</v>
      </c>
      <c r="N30" s="4">
        <f t="shared" si="8"/>
        <v>2.2326719854433477</v>
      </c>
      <c r="O30" s="4">
        <f t="shared" si="8"/>
        <v>3.8415690185323697</v>
      </c>
      <c r="P30" s="4">
        <f t="shared" si="8"/>
        <v>20.425949041454725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9">D15/$F$3</f>
        <v>8.8945722433460066</v>
      </c>
      <c r="E31" s="4">
        <f t="shared" si="9"/>
        <v>9.0865185950413228</v>
      </c>
      <c r="F31" s="4">
        <f t="shared" si="9"/>
        <v>6.2321390374331544</v>
      </c>
      <c r="G31" s="4">
        <f t="shared" si="9"/>
        <v>3.0559241706161138</v>
      </c>
      <c r="H31" s="4">
        <f t="shared" si="9"/>
        <v>1.2129383886255924</v>
      </c>
      <c r="I31" s="4">
        <f t="shared" si="9"/>
        <v>0.36363636363636365</v>
      </c>
      <c r="J31" s="4">
        <f t="shared" si="9"/>
        <v>0.54545454545454541</v>
      </c>
      <c r="K31" s="4">
        <f t="shared" si="9"/>
        <v>0.27272727272727271</v>
      </c>
      <c r="L31" s="4">
        <f t="shared" si="9"/>
        <v>2.7303005565862706</v>
      </c>
      <c r="M31" s="4">
        <f t="shared" si="9"/>
        <v>3.7720930809804538</v>
      </c>
      <c r="N31" s="4">
        <f t="shared" si="9"/>
        <v>5.6263334033172354</v>
      </c>
      <c r="O31" s="4">
        <f t="shared" si="9"/>
        <v>9.6807539267015699</v>
      </c>
      <c r="P31" s="4">
        <f t="shared" si="9"/>
        <v>51.473391584465901</v>
      </c>
    </row>
    <row r="32" spans="1:28" ht="12" customHeight="1" x14ac:dyDescent="0.3">
      <c r="B32" s="47" t="s">
        <v>44</v>
      </c>
      <c r="C32" s="47" t="s">
        <v>48</v>
      </c>
      <c r="D32" s="4">
        <f t="shared" ref="D32:P32" si="10">1000*D28/D11</f>
        <v>4.6503190514597357</v>
      </c>
      <c r="E32" s="4">
        <f t="shared" si="10"/>
        <v>5.1584568630023169</v>
      </c>
      <c r="F32" s="4">
        <f t="shared" si="10"/>
        <v>3.9824010412245703</v>
      </c>
      <c r="G32" s="4">
        <f t="shared" si="10"/>
        <v>3.0091025351688865</v>
      </c>
      <c r="H32" s="4">
        <f t="shared" si="10"/>
        <v>2.9171197417642918</v>
      </c>
      <c r="I32" s="4" t="e">
        <f t="shared" si="10"/>
        <v>#DIV/0!</v>
      </c>
      <c r="J32" s="4" t="e">
        <f t="shared" si="10"/>
        <v>#DIV/0!</v>
      </c>
      <c r="K32" s="4">
        <f t="shared" si="10"/>
        <v>21.645021645021647</v>
      </c>
      <c r="L32" s="4">
        <f t="shared" si="10"/>
        <v>5.8883293577171125</v>
      </c>
      <c r="M32" s="4">
        <f t="shared" si="10"/>
        <v>3.8778816935813527</v>
      </c>
      <c r="N32" s="4">
        <f t="shared" si="10"/>
        <v>4.0891428304823219</v>
      </c>
      <c r="O32" s="4">
        <f t="shared" si="10"/>
        <v>5.5514003157982224</v>
      </c>
      <c r="P32" s="4">
        <f t="shared" si="10"/>
        <v>4.5067833898064515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4400*1.3</f>
        <v>5720</v>
      </c>
      <c r="E36" s="11" t="s">
        <v>26</v>
      </c>
      <c r="F36" s="51">
        <f>D36/$D$38</f>
        <v>0.58757062146892658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4015</v>
      </c>
      <c r="E37" s="55" t="s">
        <v>26</v>
      </c>
      <c r="F37" s="51">
        <f>D37/$D$38</f>
        <v>0.41242937853107342</v>
      </c>
      <c r="G37" s="11" t="s">
        <v>54</v>
      </c>
      <c r="H37" s="4"/>
      <c r="I37" s="4"/>
      <c r="J37" s="4"/>
      <c r="K37" s="4">
        <f>K36-D36</f>
        <v>2846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9735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0.33224375437777259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0.22621413242190605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82" si="11">DAYS360(B50,B51)</f>
        <v>11</v>
      </c>
      <c r="F51" s="4">
        <f t="shared" ref="F51:F82" si="12">(D51-D50)/E51</f>
        <v>8.1400000000000023</v>
      </c>
      <c r="G51" s="13">
        <v>195</v>
      </c>
      <c r="H51" s="57">
        <f t="shared" ref="H51:H56" si="13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1"/>
        <v>46</v>
      </c>
      <c r="F52" s="4">
        <f t="shared" si="12"/>
        <v>10.755217391304347</v>
      </c>
      <c r="G52" s="13">
        <v>1116</v>
      </c>
      <c r="H52" s="57">
        <f t="shared" si="13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1"/>
        <v>30</v>
      </c>
      <c r="F53" s="4">
        <f t="shared" si="12"/>
        <v>9.9096666666666646</v>
      </c>
      <c r="G53" s="13">
        <v>459</v>
      </c>
      <c r="H53" s="57">
        <f t="shared" si="13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1"/>
        <v>13</v>
      </c>
      <c r="F54" s="4">
        <f t="shared" si="12"/>
        <v>12.971538461538453</v>
      </c>
      <c r="G54" s="4">
        <v>173</v>
      </c>
      <c r="H54" s="57">
        <f t="shared" si="13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1"/>
        <v>56</v>
      </c>
      <c r="F55" s="4">
        <f t="shared" si="12"/>
        <v>10.850714285714288</v>
      </c>
      <c r="G55" s="4">
        <v>537</v>
      </c>
      <c r="H55" s="57">
        <f t="shared" si="13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1"/>
        <v>23</v>
      </c>
      <c r="F56" s="4">
        <f t="shared" si="12"/>
        <v>3.4986956521739043</v>
      </c>
      <c r="G56" s="4">
        <v>78.2</v>
      </c>
      <c r="H56" s="57">
        <f t="shared" si="13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1"/>
        <v>11</v>
      </c>
      <c r="F57" s="4">
        <f t="shared" si="12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1"/>
        <v>26</v>
      </c>
      <c r="F58" s="4">
        <f t="shared" si="12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1"/>
        <v>30</v>
      </c>
      <c r="F59" s="4">
        <f t="shared" si="12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1"/>
        <v>7</v>
      </c>
      <c r="F60" s="4">
        <f t="shared" si="12"/>
        <v>2.2728571428571223</v>
      </c>
      <c r="G60" s="4">
        <f>3.8*7</f>
        <v>26.599999999999998</v>
      </c>
      <c r="H60" s="57">
        <f t="shared" ref="H60:H76" si="14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1"/>
        <v>40</v>
      </c>
      <c r="F61" s="4">
        <f t="shared" si="12"/>
        <v>4.4192499999999999</v>
      </c>
      <c r="G61" s="4">
        <f>7*40</f>
        <v>280</v>
      </c>
      <c r="H61" s="57">
        <f t="shared" si="14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1"/>
        <v>21</v>
      </c>
      <c r="F62" s="4">
        <f t="shared" si="12"/>
        <v>8.9847619047618963</v>
      </c>
      <c r="G62" s="4">
        <f>21*12.5</f>
        <v>262.5</v>
      </c>
      <c r="H62" s="57">
        <f t="shared" si="14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1"/>
        <v>83</v>
      </c>
      <c r="F63" s="4">
        <f t="shared" si="12"/>
        <v>8.7620481927710845</v>
      </c>
      <c r="G63" s="4">
        <v>1643</v>
      </c>
      <c r="H63" s="57">
        <f t="shared" si="14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1"/>
        <v>65</v>
      </c>
      <c r="F64" s="4">
        <f t="shared" si="12"/>
        <v>8.8218461538461543</v>
      </c>
      <c r="G64" s="4">
        <f>524+505+80</f>
        <v>1109</v>
      </c>
      <c r="H64" s="57">
        <f t="shared" si="14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1"/>
        <v>28</v>
      </c>
      <c r="F65" s="4">
        <f t="shared" si="12"/>
        <v>6.7735714285714392</v>
      </c>
      <c r="G65" s="4">
        <v>372</v>
      </c>
      <c r="H65" s="57">
        <f t="shared" si="14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1"/>
        <v>21</v>
      </c>
      <c r="F66" s="4">
        <f t="shared" si="12"/>
        <v>4.8628571428571377</v>
      </c>
      <c r="G66" s="4">
        <v>125</v>
      </c>
      <c r="H66" s="57">
        <f t="shared" si="14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1"/>
        <v>31</v>
      </c>
      <c r="F67" s="4">
        <f t="shared" si="12"/>
        <v>2.5290322580645044</v>
      </c>
      <c r="G67" s="4">
        <v>8</v>
      </c>
      <c r="H67" s="57">
        <f t="shared" si="14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1"/>
        <v>52</v>
      </c>
      <c r="F68" s="4">
        <f t="shared" si="12"/>
        <v>1.4932692307692412</v>
      </c>
      <c r="G68" s="4">
        <v>5</v>
      </c>
      <c r="H68" s="57">
        <f t="shared" si="14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1"/>
        <v>61</v>
      </c>
      <c r="F69" s="4">
        <f t="shared" si="12"/>
        <v>3.4193442622950809</v>
      </c>
      <c r="G69" s="4">
        <f>70+18*(17-4)</f>
        <v>304</v>
      </c>
      <c r="H69" s="57">
        <f t="shared" si="14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1"/>
        <v>50</v>
      </c>
      <c r="F70" s="4">
        <f t="shared" si="12"/>
        <v>8.3852000000000046</v>
      </c>
      <c r="G70" s="4">
        <f>13.5*50</f>
        <v>675</v>
      </c>
      <c r="H70" s="57">
        <f t="shared" si="14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1"/>
        <v>15</v>
      </c>
      <c r="F71" s="4">
        <f t="shared" si="12"/>
        <v>8.0666666666666664</v>
      </c>
      <c r="G71" s="4">
        <f>14*15</f>
        <v>210</v>
      </c>
      <c r="H71" s="57">
        <f t="shared" si="14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1"/>
        <v>80</v>
      </c>
      <c r="F72" s="4">
        <f t="shared" si="12"/>
        <v>3.9747499999999945</v>
      </c>
      <c r="G72" s="4">
        <f>552+969</f>
        <v>1521</v>
      </c>
      <c r="H72" s="57">
        <f t="shared" si="14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1"/>
        <v>46</v>
      </c>
      <c r="F73" s="4">
        <f t="shared" si="12"/>
        <v>6.8530434782608651</v>
      </c>
      <c r="G73" s="4">
        <f>561+376</f>
        <v>937</v>
      </c>
      <c r="H73" s="57">
        <f t="shared" si="14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1"/>
        <v>30</v>
      </c>
      <c r="F74" s="4">
        <f t="shared" si="12"/>
        <v>2.7056666666666689</v>
      </c>
      <c r="G74" s="4">
        <v>23</v>
      </c>
      <c r="H74" s="57">
        <f t="shared" si="14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1"/>
        <v>32</v>
      </c>
      <c r="F75" s="4">
        <f t="shared" si="12"/>
        <v>1.9846875000000068</v>
      </c>
      <c r="G75" s="4">
        <v>37</v>
      </c>
      <c r="H75" s="57">
        <f t="shared" si="14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1"/>
        <v>27</v>
      </c>
      <c r="F76" s="4">
        <f t="shared" si="12"/>
        <v>1.7807407407407381</v>
      </c>
      <c r="G76" s="4">
        <v>0</v>
      </c>
      <c r="H76" s="57" t="e">
        <f t="shared" si="14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1"/>
        <v>14</v>
      </c>
      <c r="F77" s="4">
        <f t="shared" si="12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1"/>
        <v>22</v>
      </c>
      <c r="F78" s="4">
        <f t="shared" si="12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1"/>
        <v>48</v>
      </c>
      <c r="F79" s="4">
        <f t="shared" si="12"/>
        <v>4.2625000000000073</v>
      </c>
      <c r="G79" s="4">
        <f>125+234</f>
        <v>359</v>
      </c>
      <c r="H79" s="57">
        <f t="shared" ref="H79:H85" si="15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1"/>
        <v>69</v>
      </c>
      <c r="F80" s="4">
        <f t="shared" si="12"/>
        <v>7.9052173913043484</v>
      </c>
      <c r="G80" s="4">
        <v>1172</v>
      </c>
      <c r="H80" s="57">
        <f t="shared" si="15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1"/>
        <v>14</v>
      </c>
      <c r="F81" s="4">
        <f t="shared" si="12"/>
        <v>1.9807142857142546</v>
      </c>
      <c r="G81" s="4">
        <v>363</v>
      </c>
      <c r="H81" s="57">
        <f t="shared" si="15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1"/>
        <v>15</v>
      </c>
      <c r="F82" s="4">
        <f t="shared" si="12"/>
        <v>5.7480000000000171</v>
      </c>
      <c r="G82" s="4">
        <v>310</v>
      </c>
      <c r="H82" s="57">
        <f t="shared" si="15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ref="E83:E114" si="16">DAYS360(B82,B83)</f>
        <v>27</v>
      </c>
      <c r="F83" s="4">
        <f t="shared" ref="F83:F104" si="17">(D83-D82)/E83</f>
        <v>6.6633333333333278</v>
      </c>
      <c r="G83" s="4">
        <v>600</v>
      </c>
      <c r="H83" s="57">
        <f t="shared" si="15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16"/>
        <v>50</v>
      </c>
      <c r="F84" s="4">
        <f t="shared" si="17"/>
        <v>8.6689999999999969</v>
      </c>
      <c r="G84" s="4">
        <v>840</v>
      </c>
      <c r="H84" s="57">
        <f t="shared" si="15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16"/>
        <v>21</v>
      </c>
      <c r="F85" s="4">
        <f t="shared" si="17"/>
        <v>6.3404761904762168</v>
      </c>
      <c r="G85" s="4">
        <v>230</v>
      </c>
      <c r="H85" s="57">
        <f t="shared" si="15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16"/>
        <v>34</v>
      </c>
      <c r="F86" s="4">
        <f t="shared" si="17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16"/>
        <v>11</v>
      </c>
      <c r="F87" s="4">
        <f t="shared" si="17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16"/>
        <v>9</v>
      </c>
      <c r="F88" s="4">
        <f t="shared" si="17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16"/>
        <v>34</v>
      </c>
      <c r="F89" s="4">
        <f t="shared" si="17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16"/>
        <v>40</v>
      </c>
      <c r="F90" s="4">
        <f t="shared" si="17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16"/>
        <v>22</v>
      </c>
      <c r="F91" s="4">
        <f t="shared" si="17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16"/>
        <v>27</v>
      </c>
      <c r="F92" s="4">
        <f t="shared" si="17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16"/>
        <v>57</v>
      </c>
      <c r="F93" s="4">
        <f t="shared" si="17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>
        <v>43155</v>
      </c>
      <c r="D94" s="4">
        <v>9122.02</v>
      </c>
      <c r="E94" s="13">
        <f t="shared" si="16"/>
        <v>54</v>
      </c>
      <c r="F94" s="4">
        <f t="shared" si="17"/>
        <v>4.896111111111134</v>
      </c>
      <c r="G94" s="4">
        <v>1320</v>
      </c>
      <c r="H94" s="57">
        <f>(D94-D93)/G94</f>
        <v>0.20029545454545547</v>
      </c>
      <c r="I94" s="4"/>
      <c r="J94" s="4"/>
      <c r="K94" s="4"/>
      <c r="L94" s="4"/>
      <c r="M94" s="4"/>
      <c r="N94" s="4">
        <f>D94-D93</f>
        <v>264.39000000000124</v>
      </c>
      <c r="O94" s="4"/>
      <c r="P94" s="4"/>
    </row>
    <row r="95" spans="2:16" ht="12" customHeight="1" x14ac:dyDescent="0.25">
      <c r="B95" s="56">
        <v>43184</v>
      </c>
      <c r="D95" s="4">
        <v>9294.3700000000008</v>
      </c>
      <c r="E95" s="13">
        <f t="shared" si="16"/>
        <v>31</v>
      </c>
      <c r="F95" s="4">
        <f t="shared" si="17"/>
        <v>5.5596774193548502</v>
      </c>
      <c r="G95" s="4">
        <v>723</v>
      </c>
      <c r="H95" s="57">
        <f>(D95-D94)/G95</f>
        <v>0.23838174273858972</v>
      </c>
      <c r="I95" s="4"/>
      <c r="J95" s="4"/>
      <c r="K95" s="4"/>
      <c r="L95" s="4"/>
      <c r="M95" s="4"/>
      <c r="N95" s="4">
        <f>D95-D94</f>
        <v>172.35000000000036</v>
      </c>
      <c r="O95" s="4"/>
      <c r="P95" s="4">
        <f>D94-D83</f>
        <v>2005.7700000000004</v>
      </c>
    </row>
    <row r="96" spans="2:16" ht="12" customHeight="1" x14ac:dyDescent="0.25">
      <c r="B96" s="56">
        <v>43217</v>
      </c>
      <c r="D96" s="4">
        <v>9530.9</v>
      </c>
      <c r="E96" s="13">
        <f t="shared" si="16"/>
        <v>32</v>
      </c>
      <c r="F96" s="4">
        <f t="shared" si="17"/>
        <v>7.3915624999999636</v>
      </c>
      <c r="G96" s="4"/>
      <c r="H96" s="4"/>
      <c r="I96" s="4"/>
      <c r="J96" s="4"/>
      <c r="K96" s="4"/>
      <c r="L96" s="4"/>
      <c r="M96" s="4"/>
      <c r="N96" s="4">
        <f>D96-D95</f>
        <v>236.52999999999884</v>
      </c>
      <c r="O96" s="4"/>
      <c r="P96" s="4"/>
    </row>
    <row r="97" spans="2:17" ht="12" customHeight="1" x14ac:dyDescent="0.25">
      <c r="B97" s="56">
        <v>43241</v>
      </c>
      <c r="D97" s="4">
        <v>9598.7999999999993</v>
      </c>
      <c r="E97" s="13">
        <f t="shared" si="16"/>
        <v>24</v>
      </c>
      <c r="F97" s="4">
        <f t="shared" si="17"/>
        <v>2.8291666666666515</v>
      </c>
      <c r="G97" s="4"/>
      <c r="H97" s="4"/>
      <c r="I97" s="4"/>
      <c r="J97" s="4"/>
      <c r="K97" s="4"/>
      <c r="L97" s="4"/>
      <c r="M97" s="4"/>
      <c r="N97" s="4">
        <f>D97-D96</f>
        <v>67.899999999999636</v>
      </c>
      <c r="O97" s="4"/>
      <c r="P97" s="4"/>
    </row>
    <row r="98" spans="2:17" ht="12" customHeight="1" x14ac:dyDescent="0.25">
      <c r="B98" s="56">
        <v>43269</v>
      </c>
      <c r="D98" s="4">
        <v>9628.2800000000007</v>
      </c>
      <c r="E98" s="13">
        <f t="shared" si="16"/>
        <v>27</v>
      </c>
      <c r="F98" s="4">
        <f t="shared" si="17"/>
        <v>1.0918518518519031</v>
      </c>
      <c r="G98" s="4"/>
      <c r="H98" s="4"/>
      <c r="I98" s="4"/>
      <c r="J98" s="4"/>
      <c r="K98" s="4"/>
      <c r="L98" s="4"/>
      <c r="M98" s="4"/>
      <c r="N98" s="4">
        <f>D98-D97</f>
        <v>29.480000000001382</v>
      </c>
      <c r="O98" s="4"/>
      <c r="P98" s="4">
        <f>D98-D87</f>
        <v>1804.2700000000004</v>
      </c>
    </row>
    <row r="99" spans="2:17" ht="12" customHeight="1" x14ac:dyDescent="0.25">
      <c r="B99" s="56">
        <v>43285</v>
      </c>
      <c r="D99" s="4">
        <v>9644.2900000000009</v>
      </c>
      <c r="E99" s="13">
        <f t="shared" si="16"/>
        <v>16</v>
      </c>
      <c r="F99" s="4">
        <f t="shared" si="17"/>
        <v>1.0006250000000136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7" ht="12" customHeight="1" x14ac:dyDescent="0.25">
      <c r="B100" s="56">
        <v>43298</v>
      </c>
      <c r="D100" s="4">
        <v>9661.08</v>
      </c>
      <c r="E100" s="13">
        <f t="shared" si="16"/>
        <v>13</v>
      </c>
      <c r="F100" s="4">
        <f t="shared" si="17"/>
        <v>1.2915384615383887</v>
      </c>
      <c r="G100" s="4"/>
      <c r="H100" s="4"/>
      <c r="I100" s="4"/>
      <c r="J100" s="4"/>
      <c r="K100" s="4"/>
      <c r="L100" s="4"/>
      <c r="M100" s="4"/>
      <c r="N100" s="4">
        <f>D100-D99</f>
        <v>16.789999999999054</v>
      </c>
      <c r="O100" s="4"/>
      <c r="P100" s="4"/>
    </row>
    <row r="101" spans="2:17" ht="12" customHeight="1" x14ac:dyDescent="0.25">
      <c r="B101" s="56">
        <v>43317</v>
      </c>
      <c r="D101" s="4">
        <v>9702.4</v>
      </c>
      <c r="E101" s="13">
        <f t="shared" si="16"/>
        <v>18</v>
      </c>
      <c r="F101" s="4">
        <f t="shared" si="17"/>
        <v>2.2955555555555396</v>
      </c>
      <c r="G101" s="4"/>
      <c r="H101" s="4"/>
      <c r="I101" s="4"/>
      <c r="J101" s="4"/>
      <c r="K101" s="4"/>
      <c r="L101" s="4"/>
      <c r="M101" s="4"/>
      <c r="N101" s="4">
        <f>D101-D99</f>
        <v>58.109999999998763</v>
      </c>
      <c r="O101" s="4">
        <f>N101-N100</f>
        <v>41.319999999999709</v>
      </c>
      <c r="P101" s="4">
        <f>D101-D89</f>
        <v>1831.29</v>
      </c>
    </row>
    <row r="102" spans="2:17" ht="12" customHeight="1" x14ac:dyDescent="0.25">
      <c r="B102" s="56">
        <v>43364</v>
      </c>
      <c r="D102" s="4">
        <v>9762.31</v>
      </c>
      <c r="E102" s="13">
        <f t="shared" si="16"/>
        <v>46</v>
      </c>
      <c r="F102" s="4">
        <f t="shared" si="17"/>
        <v>1.302391304347823</v>
      </c>
      <c r="G102" s="4"/>
      <c r="H102" s="4"/>
      <c r="I102" s="4"/>
      <c r="J102" s="4"/>
      <c r="K102" s="4"/>
      <c r="L102" s="4"/>
      <c r="M102" s="4"/>
      <c r="N102" s="4">
        <f>D102-D101</f>
        <v>59.909999999999854</v>
      </c>
      <c r="O102" s="4"/>
      <c r="P102" s="4">
        <f>D102-D90</f>
        <v>1812.3099999999995</v>
      </c>
    </row>
    <row r="103" spans="2:17" ht="12" customHeight="1" x14ac:dyDescent="0.25">
      <c r="B103" s="56">
        <v>43401</v>
      </c>
      <c r="D103" s="4">
        <v>9930.7800000000007</v>
      </c>
      <c r="E103" s="13">
        <f t="shared" si="16"/>
        <v>37</v>
      </c>
      <c r="F103" s="4">
        <f t="shared" si="17"/>
        <v>4.5532432432432746</v>
      </c>
      <c r="G103" s="4"/>
      <c r="H103" s="4"/>
      <c r="I103" s="4"/>
      <c r="J103" s="4"/>
      <c r="K103" s="4"/>
      <c r="L103" s="4"/>
      <c r="M103" s="4"/>
      <c r="N103" s="4">
        <f>D103-D101</f>
        <v>228.38000000000102</v>
      </c>
      <c r="O103" s="4"/>
      <c r="P103" s="4"/>
      <c r="Q103" s="14"/>
    </row>
    <row r="104" spans="2:17" ht="12" customHeight="1" x14ac:dyDescent="0.25">
      <c r="B104" s="56">
        <v>43442</v>
      </c>
      <c r="D104" s="4">
        <v>10300.530000000001</v>
      </c>
      <c r="E104" s="13">
        <f t="shared" si="16"/>
        <v>40</v>
      </c>
      <c r="F104" s="4">
        <f t="shared" si="17"/>
        <v>9.2437500000000004</v>
      </c>
      <c r="G104" s="4">
        <f>SUM(M11:N11)</f>
        <v>726</v>
      </c>
      <c r="H104" s="57">
        <f>(D104-D103)/G104</f>
        <v>0.50929752066115708</v>
      </c>
      <c r="I104" s="4"/>
      <c r="J104" s="4"/>
      <c r="K104" s="4"/>
      <c r="L104" s="4"/>
      <c r="M104" s="4"/>
      <c r="N104" s="4">
        <f>D104-D103</f>
        <v>369.75</v>
      </c>
      <c r="O104" s="4"/>
      <c r="P104" s="4"/>
    </row>
    <row r="105" spans="2:17" ht="12" customHeight="1" x14ac:dyDescent="0.25">
      <c r="B105" s="56">
        <v>43464</v>
      </c>
      <c r="D105" s="4">
        <v>531.5</v>
      </c>
      <c r="E105" s="13">
        <f t="shared" si="16"/>
        <v>22</v>
      </c>
      <c r="F105" s="4">
        <f>(D105-D104+10000)/E105</f>
        <v>10.498636363636335</v>
      </c>
      <c r="G105" s="4"/>
      <c r="H105" s="4"/>
      <c r="I105" s="4"/>
      <c r="J105" s="4"/>
      <c r="K105" s="4"/>
      <c r="L105" s="4"/>
      <c r="M105" s="4"/>
      <c r="N105" s="4">
        <f>D105-D104+10000</f>
        <v>230.96999999999935</v>
      </c>
      <c r="O105" s="4"/>
      <c r="P105" s="4">
        <f>D105-D93+10000</f>
        <v>1673.8700000000008</v>
      </c>
    </row>
    <row r="106" spans="2:17" ht="12" customHeight="1" x14ac:dyDescent="0.25">
      <c r="B106" s="56">
        <v>43547</v>
      </c>
      <c r="D106" s="4">
        <v>994.26</v>
      </c>
      <c r="E106" s="13">
        <f t="shared" si="16"/>
        <v>83</v>
      </c>
      <c r="F106" s="4">
        <f t="shared" ref="F106:F122" si="18">(D106-D105)/E106</f>
        <v>5.5754216867469877</v>
      </c>
      <c r="G106" s="4"/>
      <c r="H106" s="4"/>
      <c r="I106" s="4"/>
      <c r="J106" s="4"/>
      <c r="K106" s="4"/>
      <c r="L106" s="4"/>
      <c r="M106" s="4"/>
      <c r="N106" s="4">
        <f t="shared" ref="N106:N122" si="19">D106-D105</f>
        <v>462.76</v>
      </c>
      <c r="O106" s="4"/>
      <c r="P106" s="4">
        <f>D106-D95+10000</f>
        <v>1699.8899999999994</v>
      </c>
    </row>
    <row r="107" spans="2:17" ht="12" customHeight="1" x14ac:dyDescent="0.25">
      <c r="B107" s="56">
        <v>43582</v>
      </c>
      <c r="D107" s="4">
        <v>1190.8699999999999</v>
      </c>
      <c r="E107" s="13">
        <f t="shared" si="16"/>
        <v>34</v>
      </c>
      <c r="F107" s="4">
        <f t="shared" si="18"/>
        <v>5.7826470588235264</v>
      </c>
      <c r="G107" s="4"/>
      <c r="H107" s="4"/>
      <c r="I107" s="4"/>
      <c r="J107" s="4"/>
      <c r="K107" s="4"/>
      <c r="L107" s="4"/>
      <c r="M107" s="4"/>
      <c r="N107" s="4">
        <f t="shared" si="19"/>
        <v>196.6099999999999</v>
      </c>
      <c r="O107" s="4"/>
      <c r="P107" s="4">
        <f>D107-D96+10000</f>
        <v>1659.9700000000012</v>
      </c>
    </row>
    <row r="108" spans="2:17" ht="12" customHeight="1" x14ac:dyDescent="0.25">
      <c r="B108" s="56">
        <v>43622</v>
      </c>
      <c r="D108" s="4">
        <v>1333.82</v>
      </c>
      <c r="E108" s="13">
        <f t="shared" si="16"/>
        <v>39</v>
      </c>
      <c r="F108" s="4">
        <f t="shared" si="18"/>
        <v>3.6653846153846166</v>
      </c>
      <c r="G108" s="4"/>
      <c r="H108" s="4"/>
      <c r="I108" s="4"/>
      <c r="J108" s="4"/>
      <c r="K108" s="4"/>
      <c r="L108" s="4"/>
      <c r="M108" s="4"/>
      <c r="N108" s="4">
        <f t="shared" si="19"/>
        <v>142.95000000000005</v>
      </c>
      <c r="O108" s="4"/>
      <c r="P108" s="4">
        <f>D108-D98+10000</f>
        <v>1705.5399999999991</v>
      </c>
    </row>
    <row r="109" spans="2:17" ht="12" customHeight="1" x14ac:dyDescent="0.25">
      <c r="B109" s="56">
        <v>43670</v>
      </c>
      <c r="D109" s="4">
        <v>1398.19</v>
      </c>
      <c r="E109" s="13">
        <f t="shared" si="16"/>
        <v>48</v>
      </c>
      <c r="F109" s="4">
        <f t="shared" si="18"/>
        <v>1.3410416666666691</v>
      </c>
      <c r="G109" s="4"/>
      <c r="H109" s="4"/>
      <c r="I109" s="4"/>
      <c r="J109" s="4"/>
      <c r="K109" s="4"/>
      <c r="L109" s="4"/>
      <c r="M109" s="4"/>
      <c r="N109" s="4">
        <f t="shared" si="19"/>
        <v>64.370000000000118</v>
      </c>
      <c r="O109" s="4"/>
      <c r="P109" s="4"/>
    </row>
    <row r="110" spans="2:17" ht="12" customHeight="1" x14ac:dyDescent="0.25">
      <c r="B110" s="56">
        <v>43681</v>
      </c>
      <c r="D110" s="4">
        <v>1419.41</v>
      </c>
      <c r="E110" s="13">
        <f t="shared" si="16"/>
        <v>10</v>
      </c>
      <c r="F110" s="4">
        <f t="shared" si="18"/>
        <v>2.1220000000000026</v>
      </c>
      <c r="G110" s="4"/>
      <c r="H110" s="4"/>
      <c r="I110" s="4"/>
      <c r="J110" s="4"/>
      <c r="K110" s="4"/>
      <c r="L110" s="4"/>
      <c r="M110" s="4"/>
      <c r="N110" s="4">
        <f t="shared" si="19"/>
        <v>21.220000000000027</v>
      </c>
      <c r="O110" s="4"/>
      <c r="P110" s="4">
        <f>D110-D101+10000</f>
        <v>1717.0100000000002</v>
      </c>
    </row>
    <row r="111" spans="2:17" ht="12" customHeight="1" x14ac:dyDescent="0.3">
      <c r="B111" s="56">
        <v>43744</v>
      </c>
      <c r="D111" s="47">
        <v>1581.94</v>
      </c>
      <c r="E111" s="13">
        <f t="shared" si="16"/>
        <v>62</v>
      </c>
      <c r="F111" s="4">
        <f t="shared" si="18"/>
        <v>2.6214516129032255</v>
      </c>
      <c r="G111" s="4"/>
      <c r="H111" s="4"/>
      <c r="I111" s="4"/>
      <c r="J111" s="4"/>
      <c r="K111" s="4"/>
      <c r="L111" s="4"/>
      <c r="M111" s="4"/>
      <c r="N111" s="4">
        <f t="shared" si="19"/>
        <v>162.52999999999997</v>
      </c>
      <c r="O111" s="4"/>
      <c r="P111" s="4"/>
    </row>
    <row r="112" spans="2:17" ht="12" customHeight="1" x14ac:dyDescent="0.25">
      <c r="B112" s="56">
        <v>43806</v>
      </c>
      <c r="D112" s="4">
        <v>2125.79</v>
      </c>
      <c r="E112" s="13">
        <f t="shared" si="16"/>
        <v>61</v>
      </c>
      <c r="F112" s="4">
        <f t="shared" si="18"/>
        <v>8.9155737704918021</v>
      </c>
      <c r="G112" s="4"/>
      <c r="H112" s="4"/>
      <c r="I112" s="4"/>
      <c r="J112" s="4"/>
      <c r="K112" s="4"/>
      <c r="L112" s="4"/>
      <c r="M112" s="4"/>
      <c r="N112" s="4">
        <f t="shared" si="19"/>
        <v>543.84999999999991</v>
      </c>
      <c r="O112" s="4"/>
      <c r="P112" s="4">
        <f>D112-D104+10000</f>
        <v>1825.2599999999993</v>
      </c>
    </row>
    <row r="113" spans="2:16" ht="12" customHeight="1" x14ac:dyDescent="0.25">
      <c r="B113" s="56">
        <v>43827</v>
      </c>
      <c r="D113" s="4">
        <v>2323.56</v>
      </c>
      <c r="E113" s="13">
        <f t="shared" si="16"/>
        <v>21</v>
      </c>
      <c r="F113" s="4">
        <f t="shared" si="18"/>
        <v>9.4176190476190467</v>
      </c>
      <c r="G113" s="4"/>
      <c r="H113" s="4"/>
      <c r="I113" s="4"/>
      <c r="J113" s="4"/>
      <c r="K113" s="4"/>
      <c r="L113" s="4"/>
      <c r="M113" s="4"/>
      <c r="N113" s="4">
        <f t="shared" si="19"/>
        <v>197.76999999999998</v>
      </c>
      <c r="O113" s="4"/>
      <c r="P113" s="4">
        <f>D113-D105</f>
        <v>1792.06</v>
      </c>
    </row>
    <row r="114" spans="2:16" ht="12" customHeight="1" x14ac:dyDescent="0.25">
      <c r="B114" s="56">
        <v>43876</v>
      </c>
      <c r="D114" s="4">
        <v>2777.25</v>
      </c>
      <c r="E114" s="13">
        <f t="shared" si="16"/>
        <v>47</v>
      </c>
      <c r="F114" s="4">
        <f t="shared" si="18"/>
        <v>9.6529787234042566</v>
      </c>
      <c r="G114" s="4"/>
      <c r="H114" s="4"/>
      <c r="I114" s="4"/>
      <c r="J114" s="4"/>
      <c r="K114" s="4"/>
      <c r="L114" s="4"/>
      <c r="M114" s="4"/>
      <c r="N114" s="4">
        <f t="shared" si="19"/>
        <v>453.69000000000005</v>
      </c>
      <c r="O114" s="4"/>
      <c r="P114" s="4"/>
    </row>
    <row r="115" spans="2:16" ht="12" customHeight="1" x14ac:dyDescent="0.25">
      <c r="B115" s="56">
        <v>43953</v>
      </c>
      <c r="D115" s="4">
        <v>3386.03</v>
      </c>
      <c r="E115" s="13">
        <f t="shared" ref="E115:E122" si="20">DAYS360(B114,B115)</f>
        <v>77</v>
      </c>
      <c r="F115" s="4">
        <f t="shared" si="18"/>
        <v>7.9062337662337692</v>
      </c>
      <c r="G115" s="4"/>
      <c r="H115" s="4"/>
      <c r="I115" s="4"/>
      <c r="J115" s="4"/>
      <c r="K115" s="4"/>
      <c r="L115" s="4"/>
      <c r="M115" s="4"/>
      <c r="N115" s="4">
        <f t="shared" si="19"/>
        <v>608.7800000000002</v>
      </c>
      <c r="O115" s="4"/>
      <c r="P115" s="4">
        <f>D115-D107</f>
        <v>2195.1600000000003</v>
      </c>
    </row>
    <row r="116" spans="2:16" ht="12" customHeight="1" x14ac:dyDescent="0.25">
      <c r="B116" s="56">
        <v>43972</v>
      </c>
      <c r="D116" s="4">
        <v>3469.97</v>
      </c>
      <c r="E116" s="13">
        <f t="shared" si="20"/>
        <v>19</v>
      </c>
      <c r="F116" s="4">
        <f t="shared" si="18"/>
        <v>4.4178947368420838</v>
      </c>
      <c r="G116" s="4"/>
      <c r="H116" s="4"/>
      <c r="I116" s="4"/>
      <c r="J116" s="4"/>
      <c r="K116" s="4"/>
      <c r="L116" s="4"/>
      <c r="M116" s="4"/>
      <c r="N116" s="4">
        <f t="shared" si="19"/>
        <v>83.9399999999996</v>
      </c>
      <c r="O116" s="4"/>
      <c r="P116" s="4"/>
    </row>
    <row r="117" spans="2:16" ht="12" customHeight="1" x14ac:dyDescent="0.25">
      <c r="B117" s="56">
        <v>43994</v>
      </c>
      <c r="D117" s="4">
        <v>3511.84</v>
      </c>
      <c r="E117" s="13">
        <f t="shared" si="20"/>
        <v>21</v>
      </c>
      <c r="F117" s="4">
        <f t="shared" si="18"/>
        <v>1.9938095238095404</v>
      </c>
      <c r="G117" s="4"/>
      <c r="H117" s="4"/>
      <c r="I117" s="4"/>
      <c r="J117" s="4"/>
      <c r="K117" s="4"/>
      <c r="L117" s="4"/>
      <c r="M117" s="4"/>
      <c r="N117" s="4">
        <f t="shared" si="19"/>
        <v>41.870000000000346</v>
      </c>
      <c r="O117" s="4"/>
      <c r="P117" s="4"/>
    </row>
    <row r="118" spans="2:16" ht="12" customHeight="1" x14ac:dyDescent="0.25">
      <c r="B118" s="56">
        <v>44038</v>
      </c>
      <c r="D118" s="4">
        <v>3570.78</v>
      </c>
      <c r="E118" s="13">
        <f t="shared" si="20"/>
        <v>44</v>
      </c>
      <c r="F118" s="4">
        <f t="shared" si="18"/>
        <v>1.3395454545454557</v>
      </c>
      <c r="G118" s="4"/>
      <c r="H118" s="4"/>
      <c r="I118" s="4"/>
      <c r="J118" s="4"/>
      <c r="K118" s="4"/>
      <c r="L118" s="4"/>
      <c r="M118" s="4"/>
      <c r="N118" s="4">
        <f t="shared" si="19"/>
        <v>58.940000000000055</v>
      </c>
      <c r="O118" s="4"/>
      <c r="P118" s="4">
        <f>D118-D109</f>
        <v>2172.59</v>
      </c>
    </row>
    <row r="119" spans="2:16" ht="12" customHeight="1" x14ac:dyDescent="0.25">
      <c r="B119" s="56">
        <v>44072</v>
      </c>
      <c r="D119" s="4">
        <v>3600.26</v>
      </c>
      <c r="E119" s="13">
        <f t="shared" si="20"/>
        <v>33</v>
      </c>
      <c r="F119" s="4">
        <f t="shared" si="18"/>
        <v>0.89333333333333387</v>
      </c>
      <c r="G119" s="4"/>
      <c r="H119" s="4"/>
      <c r="I119" s="4"/>
      <c r="J119" s="4"/>
      <c r="K119" s="4"/>
      <c r="L119" s="4"/>
      <c r="M119" s="4"/>
      <c r="N119" s="4">
        <f t="shared" si="19"/>
        <v>29.480000000000018</v>
      </c>
      <c r="O119" s="4"/>
      <c r="P119" s="4"/>
    </row>
    <row r="120" spans="2:16" ht="12" customHeight="1" x14ac:dyDescent="0.25">
      <c r="B120" s="56">
        <v>44101</v>
      </c>
      <c r="D120" s="4">
        <v>3662.21</v>
      </c>
      <c r="E120" s="13">
        <f t="shared" si="20"/>
        <v>28</v>
      </c>
      <c r="F120" s="4">
        <f t="shared" si="18"/>
        <v>2.2124999999999937</v>
      </c>
      <c r="G120" s="4"/>
      <c r="H120" s="4"/>
      <c r="I120" s="4"/>
      <c r="J120" s="4"/>
      <c r="K120" s="4"/>
      <c r="L120" s="4"/>
      <c r="M120" s="4"/>
      <c r="N120" s="4">
        <f t="shared" si="19"/>
        <v>61.949999999999818</v>
      </c>
      <c r="O120" s="4"/>
      <c r="P120" s="4">
        <f>D120-D111</f>
        <v>2080.27</v>
      </c>
    </row>
    <row r="121" spans="2:16" ht="12" customHeight="1" x14ac:dyDescent="0.25">
      <c r="B121" s="56">
        <v>44117</v>
      </c>
      <c r="D121" s="4">
        <v>3707.35</v>
      </c>
      <c r="E121" s="13">
        <f t="shared" si="20"/>
        <v>16</v>
      </c>
      <c r="F121" s="4">
        <f t="shared" si="18"/>
        <v>2.821249999999992</v>
      </c>
      <c r="G121" s="4"/>
      <c r="H121" s="4"/>
      <c r="I121" s="4"/>
      <c r="J121" s="4"/>
      <c r="K121" s="4"/>
      <c r="L121" s="4"/>
      <c r="M121" s="4"/>
      <c r="N121" s="4">
        <f t="shared" si="19"/>
        <v>45.139999999999873</v>
      </c>
      <c r="O121" s="4"/>
      <c r="P121" s="4">
        <f>D121-D111</f>
        <v>2125.41</v>
      </c>
    </row>
    <row r="122" spans="2:16" ht="12" customHeight="1" x14ac:dyDescent="0.25">
      <c r="B122" s="56">
        <v>44201</v>
      </c>
      <c r="D122" s="4">
        <v>4438.38</v>
      </c>
      <c r="E122" s="13">
        <f t="shared" si="20"/>
        <v>82</v>
      </c>
      <c r="F122" s="4">
        <f t="shared" si="18"/>
        <v>8.9150000000000027</v>
      </c>
      <c r="G122" s="4"/>
      <c r="H122" s="4"/>
      <c r="I122" s="4"/>
      <c r="J122" s="4"/>
      <c r="K122" s="4"/>
      <c r="L122" s="4"/>
      <c r="M122" s="4"/>
      <c r="N122" s="4">
        <f t="shared" si="19"/>
        <v>731.0300000000002</v>
      </c>
      <c r="O122" s="4">
        <f>B122-B113</f>
        <v>374</v>
      </c>
      <c r="P122" s="4">
        <f>D122-D113</f>
        <v>2114.8200000000002</v>
      </c>
    </row>
    <row r="123" spans="2:16" ht="12" customHeight="1" x14ac:dyDescent="0.25">
      <c r="B123" s="5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2:16" ht="12" customHeight="1" x14ac:dyDescent="0.25">
      <c r="B124" s="5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2:16" ht="12" customHeight="1" x14ac:dyDescent="0.25">
      <c r="B125" s="5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2:16" ht="12" customHeight="1" x14ac:dyDescent="0.25">
      <c r="B126" s="5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2:16" ht="12" customHeight="1" x14ac:dyDescent="0.25">
      <c r="B127" s="5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2:16" ht="12" customHeight="1" x14ac:dyDescent="0.25">
      <c r="B128" s="5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2:16" ht="12" customHeight="1" x14ac:dyDescent="0.25">
      <c r="B129" s="5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2:16" ht="12" customHeight="1" x14ac:dyDescent="0.25">
      <c r="B130" s="5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2:16" ht="12" customHeight="1" x14ac:dyDescent="0.25">
      <c r="B131" s="5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2:16" ht="12" customHeight="1" x14ac:dyDescent="0.25">
      <c r="B132" s="5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 ht="12" customHeight="1" x14ac:dyDescent="0.25">
      <c r="B133" s="5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 ht="12" customHeight="1" x14ac:dyDescent="0.25">
      <c r="B134" s="5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 ht="12" customHeight="1" x14ac:dyDescent="0.25">
      <c r="B135" s="5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 ht="12" customHeight="1" x14ac:dyDescent="0.25">
      <c r="B136" s="5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 ht="12" customHeight="1" x14ac:dyDescent="0.25">
      <c r="B137" s="5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 ht="12" customHeight="1" x14ac:dyDescent="0.25">
      <c r="B138" s="5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 ht="12" customHeight="1" x14ac:dyDescent="0.25">
      <c r="B139" s="5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 ht="12" customHeight="1" x14ac:dyDescent="0.25">
      <c r="B140" s="5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 ht="12" customHeight="1" x14ac:dyDescent="0.25">
      <c r="B141" s="5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 ht="12" customHeight="1" x14ac:dyDescent="0.25">
      <c r="B142" s="5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 ht="12" customHeight="1" x14ac:dyDescent="0.25">
      <c r="B143" s="5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 ht="12" customHeight="1" x14ac:dyDescent="0.25">
      <c r="B144" s="5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 ht="12" customHeight="1" x14ac:dyDescent="0.25">
      <c r="B145" s="5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zoomScaleNormal="100" workbookViewId="0">
      <selection activeCell="P8" sqref="P8:P15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5" width="8.6640625" customWidth="1"/>
    <col min="26" max="26" width="14.6640625" customWidth="1"/>
    <col min="27" max="28" width="8.6640625" customWidth="1"/>
  </cols>
  <sheetData>
    <row r="1" spans="1:28" ht="12" customHeight="1" x14ac:dyDescent="0.3">
      <c r="A1" s="2" t="s">
        <v>0</v>
      </c>
      <c r="D1" s="3">
        <v>2019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61"/>
      <c r="S1" s="62"/>
    </row>
    <row r="2" spans="1:28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60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11</v>
      </c>
      <c r="L3" s="11" t="s">
        <v>5</v>
      </c>
      <c r="M3" s="4"/>
      <c r="N3" s="4"/>
      <c r="O3" s="4"/>
      <c r="P3" s="4"/>
      <c r="Q3" s="8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SUM(I9:K9)/92</f>
        <v>10.879782608695651</v>
      </c>
      <c r="L4" s="11" t="s">
        <v>5</v>
      </c>
      <c r="M4" s="11"/>
      <c r="N4" s="11"/>
      <c r="O4" s="11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ht="21" customHeight="1" x14ac:dyDescent="0.25">
      <c r="A8" s="25">
        <v>2019</v>
      </c>
      <c r="B8" s="26" t="s">
        <v>23</v>
      </c>
      <c r="C8" s="30" t="s">
        <v>65</v>
      </c>
      <c r="D8" s="28">
        <v>-8.5</v>
      </c>
      <c r="E8" s="28">
        <v>-2</v>
      </c>
      <c r="F8" s="28">
        <v>-1.6</v>
      </c>
      <c r="G8" s="28">
        <v>5.5</v>
      </c>
      <c r="H8" s="28">
        <v>9.8000000000000007</v>
      </c>
      <c r="I8" s="28">
        <v>17.399999999999999</v>
      </c>
      <c r="J8" s="28">
        <v>15.8</v>
      </c>
      <c r="K8" s="28">
        <v>15.5</v>
      </c>
      <c r="L8" s="28">
        <v>10.3</v>
      </c>
      <c r="M8" s="28">
        <v>3.7</v>
      </c>
      <c r="N8" s="28">
        <v>0.3</v>
      </c>
      <c r="O8" s="28">
        <v>-0.1</v>
      </c>
      <c r="P8" s="28">
        <f>AVERAGE(D8:O8)</f>
        <v>5.5083333333333337</v>
      </c>
      <c r="T8" s="29"/>
      <c r="U8" s="8"/>
      <c r="Z8" s="83"/>
      <c r="AA8" s="83"/>
    </row>
    <row r="9" spans="1:28" ht="12" customHeight="1" x14ac:dyDescent="0.25">
      <c r="A9" s="25">
        <v>2019</v>
      </c>
      <c r="B9" s="26" t="s">
        <v>25</v>
      </c>
      <c r="C9" s="30" t="s">
        <v>26</v>
      </c>
      <c r="D9" s="31">
        <v>1679.28</v>
      </c>
      <c r="E9" s="31">
        <v>1103.17</v>
      </c>
      <c r="F9" s="32">
        <v>979.68</v>
      </c>
      <c r="G9" s="32">
        <v>624.48</v>
      </c>
      <c r="H9" s="32">
        <v>504.01</v>
      </c>
      <c r="I9" s="32">
        <v>347.01</v>
      </c>
      <c r="J9" s="32">
        <v>340.28</v>
      </c>
      <c r="K9" s="32">
        <v>313.64999999999998</v>
      </c>
      <c r="L9" s="32">
        <v>432.32</v>
      </c>
      <c r="M9" s="32">
        <v>679.98</v>
      </c>
      <c r="N9" s="32">
        <v>822.78</v>
      </c>
      <c r="O9" s="32">
        <v>936.61</v>
      </c>
      <c r="P9" s="33">
        <f>SUM(D9:O9)</f>
        <v>8763.2499999999982</v>
      </c>
      <c r="Q9" s="34"/>
      <c r="R9" s="34">
        <f>SUM(D9:O9)+SUM('2018'!O9)</f>
        <v>9963.989999999998</v>
      </c>
      <c r="S9" s="35"/>
      <c r="T9" s="36"/>
      <c r="U9" s="34"/>
      <c r="Z9" s="37"/>
      <c r="AB9" s="37"/>
    </row>
    <row r="10" spans="1:28" ht="12" customHeight="1" x14ac:dyDescent="0.25">
      <c r="A10" s="25">
        <v>2019</v>
      </c>
      <c r="B10" s="26" t="s">
        <v>28</v>
      </c>
      <c r="C10" s="30" t="s">
        <v>26</v>
      </c>
      <c r="D10" s="43">
        <v>35</v>
      </c>
      <c r="E10" s="43">
        <v>63</v>
      </c>
      <c r="F10" s="43">
        <v>300</v>
      </c>
      <c r="G10" s="43">
        <v>196.6</v>
      </c>
      <c r="H10" s="43">
        <v>143</v>
      </c>
      <c r="I10" s="43">
        <v>40</v>
      </c>
      <c r="J10" s="43">
        <v>45</v>
      </c>
      <c r="K10" s="43">
        <v>40</v>
      </c>
      <c r="L10" s="43">
        <v>122</v>
      </c>
      <c r="M10" s="43">
        <v>220</v>
      </c>
      <c r="N10" s="43">
        <v>320</v>
      </c>
      <c r="O10" s="43">
        <f>9.45*31</f>
        <v>292.95</v>
      </c>
      <c r="P10" s="43">
        <f>SUM(D10:O10)</f>
        <v>1817.55</v>
      </c>
      <c r="Q10" s="34"/>
      <c r="R10" s="34">
        <f>SUM(D10:O10)+SUM('2018'!O10)</f>
        <v>2143.0500000000002</v>
      </c>
      <c r="T10" s="36">
        <f>P10+'2018'!P10+'2017'!P10+'2016'!P12+'2015'!P12+'2014'!P12+'2013'!P12+'2012'!P12+'2011'!P12+'2010'!P12+'2009'!P12+'2008'!P12</f>
        <v>22878.580811381904</v>
      </c>
      <c r="U10" s="34"/>
      <c r="V10" s="35"/>
    </row>
    <row r="11" spans="1:28" ht="12" customHeight="1" x14ac:dyDescent="0.25">
      <c r="A11" s="25">
        <v>2019</v>
      </c>
      <c r="B11" s="40" t="s">
        <v>29</v>
      </c>
      <c r="C11" s="30" t="s">
        <v>66</v>
      </c>
      <c r="D11" s="32">
        <v>791</v>
      </c>
      <c r="E11" s="32">
        <v>532</v>
      </c>
      <c r="F11" s="32">
        <v>576</v>
      </c>
      <c r="G11" s="32">
        <v>325</v>
      </c>
      <c r="H11" s="32">
        <v>174</v>
      </c>
      <c r="I11" s="32">
        <v>0</v>
      </c>
      <c r="J11" s="32">
        <v>23</v>
      </c>
      <c r="K11" s="32">
        <v>11</v>
      </c>
      <c r="L11" s="32">
        <v>176</v>
      </c>
      <c r="M11" s="32">
        <v>411</v>
      </c>
      <c r="N11" s="32">
        <v>502</v>
      </c>
      <c r="O11" s="32">
        <v>530</v>
      </c>
      <c r="P11" s="32">
        <f>SUM(D11:O11)</f>
        <v>4051</v>
      </c>
      <c r="Q11" s="42"/>
      <c r="R11" s="42"/>
      <c r="S11" s="35"/>
      <c r="T11" s="34"/>
      <c r="U11" s="34"/>
      <c r="V11" s="35"/>
    </row>
    <row r="12" spans="1:28" ht="12" customHeight="1" x14ac:dyDescent="0.25">
      <c r="A12" s="25">
        <v>2019</v>
      </c>
      <c r="B12" s="40" t="s">
        <v>31</v>
      </c>
      <c r="C12" s="30" t="s">
        <v>66</v>
      </c>
      <c r="D12" s="32">
        <v>759</v>
      </c>
      <c r="E12" s="32">
        <v>699</v>
      </c>
      <c r="F12" s="32">
        <v>621</v>
      </c>
      <c r="G12" s="32">
        <v>403</v>
      </c>
      <c r="H12" s="32">
        <v>165</v>
      </c>
      <c r="I12" s="32">
        <v>22</v>
      </c>
      <c r="J12" s="32">
        <v>5</v>
      </c>
      <c r="K12" s="32">
        <v>28</v>
      </c>
      <c r="L12" s="32">
        <v>184</v>
      </c>
      <c r="M12" s="32">
        <v>386</v>
      </c>
      <c r="N12" s="32">
        <v>546</v>
      </c>
      <c r="O12" s="32">
        <v>692</v>
      </c>
      <c r="P12" s="32">
        <v>4510</v>
      </c>
      <c r="R12" s="42"/>
      <c r="T12" s="36"/>
      <c r="U12" s="34"/>
      <c r="V12" s="34"/>
    </row>
    <row r="13" spans="1:28" ht="12" customHeight="1" x14ac:dyDescent="0.25">
      <c r="A13" s="25">
        <v>2019</v>
      </c>
      <c r="B13" s="26" t="s">
        <v>32</v>
      </c>
      <c r="C13" s="30" t="s">
        <v>26</v>
      </c>
      <c r="D13" s="32">
        <f t="shared" ref="D13:O13" si="0">$K$3*D7</f>
        <v>341</v>
      </c>
      <c r="E13" s="32">
        <f t="shared" si="0"/>
        <v>308</v>
      </c>
      <c r="F13" s="32">
        <f t="shared" si="0"/>
        <v>341</v>
      </c>
      <c r="G13" s="32">
        <f t="shared" si="0"/>
        <v>330</v>
      </c>
      <c r="H13" s="32">
        <f t="shared" si="0"/>
        <v>341</v>
      </c>
      <c r="I13" s="32">
        <f t="shared" si="0"/>
        <v>330</v>
      </c>
      <c r="J13" s="32">
        <f t="shared" si="0"/>
        <v>341</v>
      </c>
      <c r="K13" s="32">
        <f t="shared" si="0"/>
        <v>341</v>
      </c>
      <c r="L13" s="32">
        <f t="shared" si="0"/>
        <v>330</v>
      </c>
      <c r="M13" s="32">
        <f t="shared" si="0"/>
        <v>341</v>
      </c>
      <c r="N13" s="32">
        <f t="shared" si="0"/>
        <v>330</v>
      </c>
      <c r="O13" s="32">
        <f t="shared" si="0"/>
        <v>341</v>
      </c>
      <c r="P13" s="32">
        <f>SUM(D13:O13)</f>
        <v>4015</v>
      </c>
      <c r="T13" s="36"/>
      <c r="U13" s="34"/>
    </row>
    <row r="14" spans="1:28" ht="12" customHeight="1" x14ac:dyDescent="0.25">
      <c r="A14" s="25">
        <v>2019</v>
      </c>
      <c r="B14" s="26" t="s">
        <v>33</v>
      </c>
      <c r="C14" s="30" t="s">
        <v>26</v>
      </c>
      <c r="D14" s="32">
        <f>D9-D13</f>
        <v>1338.28</v>
      </c>
      <c r="E14" s="32">
        <f>E9-E13</f>
        <v>795.17000000000007</v>
      </c>
      <c r="F14" s="32">
        <f>F9-F13</f>
        <v>638.67999999999995</v>
      </c>
      <c r="G14" s="32">
        <f>G9-G13</f>
        <v>294.48</v>
      </c>
      <c r="H14" s="32">
        <f>H9-H13</f>
        <v>163.01</v>
      </c>
      <c r="I14" s="43">
        <f>I10</f>
        <v>40</v>
      </c>
      <c r="J14" s="43">
        <f>J10</f>
        <v>45</v>
      </c>
      <c r="K14" s="43">
        <f>K10</f>
        <v>40</v>
      </c>
      <c r="L14" s="32">
        <f>L9-L13</f>
        <v>102.32</v>
      </c>
      <c r="M14" s="32">
        <f>M9-M13</f>
        <v>338.98</v>
      </c>
      <c r="N14" s="32">
        <f>N9-N13</f>
        <v>492.78</v>
      </c>
      <c r="O14" s="32">
        <f>O9-O13</f>
        <v>595.61</v>
      </c>
      <c r="P14" s="32">
        <f>SUM(D14:O14)</f>
        <v>4884.3099999999995</v>
      </c>
      <c r="R14" s="35"/>
      <c r="T14" s="36"/>
      <c r="U14" s="34"/>
    </row>
    <row r="15" spans="1:28" ht="12" customHeight="1" x14ac:dyDescent="0.25">
      <c r="A15" s="25">
        <v>2019</v>
      </c>
      <c r="B15" s="26" t="s">
        <v>34</v>
      </c>
      <c r="C15" s="30" t="s">
        <v>26</v>
      </c>
      <c r="D15" s="32">
        <f>IF(D14&lt;0,0,((D12/D11))*D14)</f>
        <v>1284.1397218710492</v>
      </c>
      <c r="E15" s="32">
        <f>IF(E14&lt;0,0,((E12/E11))*E14)</f>
        <v>1044.781635338346</v>
      </c>
      <c r="F15" s="32">
        <f>IF(F14&lt;0,0,((F12/F11))*F14)</f>
        <v>688.57687499999997</v>
      </c>
      <c r="G15" s="32">
        <f>IF(G14&lt;0,0,((G12/G11))*G14)</f>
        <v>365.15520000000004</v>
      </c>
      <c r="H15" s="32">
        <f>IF(H14&lt;0,0,((H12/H11))*H14)</f>
        <v>154.57844827586206</v>
      </c>
      <c r="I15" s="32">
        <f>I14</f>
        <v>40</v>
      </c>
      <c r="J15" s="32">
        <f>J14</f>
        <v>45</v>
      </c>
      <c r="K15" s="32">
        <f>K14</f>
        <v>40</v>
      </c>
      <c r="L15" s="32">
        <f>IF(L14&lt;0,0,((L12/L11))*L14)</f>
        <v>106.97090909090907</v>
      </c>
      <c r="M15" s="32">
        <f>IF(M14&lt;0,0,((M12/M11))*M14)</f>
        <v>318.36077858880782</v>
      </c>
      <c r="N15" s="32">
        <f>IF(N14&lt;0,0,((N12/N11))*N14)</f>
        <v>535.97187250996012</v>
      </c>
      <c r="O15" s="32">
        <f>IF(O14&lt;0,0,((O12/O11))*O14)</f>
        <v>777.66437735849058</v>
      </c>
      <c r="P15" s="33">
        <f>SUM(D15:O15)</f>
        <v>5401.1998180334249</v>
      </c>
      <c r="Q15" s="44"/>
      <c r="R15" s="45">
        <f>P14-P10</f>
        <v>3066.7599999999993</v>
      </c>
      <c r="T15" s="36"/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1">D9/D7</f>
        <v>54.170322580645163</v>
      </c>
      <c r="E18" s="4">
        <f t="shared" si="1"/>
        <v>39.398928571428577</v>
      </c>
      <c r="F18" s="4">
        <f t="shared" si="1"/>
        <v>31.602580645161289</v>
      </c>
      <c r="G18" s="4">
        <f t="shared" si="1"/>
        <v>20.815999999999999</v>
      </c>
      <c r="H18" s="4">
        <f t="shared" si="1"/>
        <v>16.258387096774193</v>
      </c>
      <c r="I18" s="4">
        <f t="shared" si="1"/>
        <v>11.567</v>
      </c>
      <c r="J18" s="4">
        <f t="shared" si="1"/>
        <v>10.976774193548387</v>
      </c>
      <c r="K18" s="4">
        <f t="shared" si="1"/>
        <v>10.11774193548387</v>
      </c>
      <c r="L18" s="4">
        <f t="shared" si="1"/>
        <v>14.410666666666666</v>
      </c>
      <c r="M18" s="4">
        <f t="shared" si="1"/>
        <v>21.934838709677418</v>
      </c>
      <c r="N18" s="4">
        <f t="shared" si="1"/>
        <v>27.425999999999998</v>
      </c>
      <c r="O18" s="4">
        <f t="shared" si="1"/>
        <v>30.213225806451614</v>
      </c>
      <c r="P18" s="4"/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1679.28</v>
      </c>
      <c r="E19" s="4">
        <f>SUM($D$9:E9)</f>
        <v>2782.45</v>
      </c>
      <c r="F19" s="4">
        <f>SUM($D$9:F9)</f>
        <v>3762.1299999999997</v>
      </c>
      <c r="G19" s="4">
        <f>SUM($D$9:G9)</f>
        <v>4386.6099999999997</v>
      </c>
      <c r="H19" s="4">
        <f>SUM($D$9:H9)</f>
        <v>4890.62</v>
      </c>
      <c r="I19" s="4">
        <f>SUM($D$9:I9)</f>
        <v>5237.63</v>
      </c>
      <c r="J19" s="4">
        <f>SUM($D$9:J9)</f>
        <v>5577.91</v>
      </c>
      <c r="K19" s="4">
        <f>SUM($D$9:K9)</f>
        <v>5891.5599999999995</v>
      </c>
      <c r="L19" s="4">
        <f>SUM($D$9:L9)</f>
        <v>6323.8799999999992</v>
      </c>
      <c r="M19" s="4">
        <f>SUM($D$9:M9)</f>
        <v>7003.8599999999988</v>
      </c>
      <c r="N19" s="4">
        <f>SUM($D$9:N9)</f>
        <v>7826.6399999999985</v>
      </c>
      <c r="O19" s="4">
        <f>SUM($D$9:O9)</f>
        <v>8763.2499999999982</v>
      </c>
      <c r="P19" s="4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35</v>
      </c>
      <c r="E20" s="4">
        <f>SUM($D$10:E10)</f>
        <v>98</v>
      </c>
      <c r="F20" s="4">
        <f>SUM($D$10:F10)</f>
        <v>398</v>
      </c>
      <c r="G20" s="4">
        <f>SUM($D$10:G10)</f>
        <v>594.6</v>
      </c>
      <c r="H20" s="4">
        <f>SUM($D$10:H10)</f>
        <v>737.6</v>
      </c>
      <c r="I20" s="4">
        <f>SUM($D$10:I10)</f>
        <v>777.6</v>
      </c>
      <c r="J20" s="4">
        <f>SUM($D$10:J10)</f>
        <v>822.6</v>
      </c>
      <c r="K20" s="4">
        <f>SUM($D$10:K10)</f>
        <v>862.6</v>
      </c>
      <c r="L20" s="4">
        <f>SUM($D$10:L10)</f>
        <v>984.6</v>
      </c>
      <c r="M20" s="4">
        <f>SUM($D$10:M10)</f>
        <v>1204.5999999999999</v>
      </c>
      <c r="N20" s="4">
        <f>SUM($D$10:N10)</f>
        <v>1524.6</v>
      </c>
      <c r="O20" s="4">
        <f>SUM($D$10:O10)</f>
        <v>1817.55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1338.28</v>
      </c>
      <c r="E21" s="4">
        <f>SUM($D$14:E14)</f>
        <v>2133.4499999999998</v>
      </c>
      <c r="F21" s="4">
        <f>SUM($D$14:F14)</f>
        <v>2772.1299999999997</v>
      </c>
      <c r="G21" s="4">
        <f>SUM($D$14:G14)</f>
        <v>3066.6099999999997</v>
      </c>
      <c r="H21" s="4">
        <f>SUM($D$14:H14)</f>
        <v>3229.62</v>
      </c>
      <c r="I21" s="4">
        <f>SUM($D$14:I14)</f>
        <v>3269.62</v>
      </c>
      <c r="J21" s="4">
        <f>SUM($D$14:J14)</f>
        <v>3314.62</v>
      </c>
      <c r="K21" s="4">
        <f>SUM($D$14:K14)</f>
        <v>3354.62</v>
      </c>
      <c r="L21" s="4">
        <f>SUM($D$14:L14)</f>
        <v>3456.94</v>
      </c>
      <c r="M21" s="4">
        <f>SUM($D$14:M14)</f>
        <v>3795.92</v>
      </c>
      <c r="N21" s="4">
        <f>SUM($D$14:N14)</f>
        <v>4288.7</v>
      </c>
      <c r="O21" s="4">
        <f>SUM($D$14:O14)</f>
        <v>4884.3099999999995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2">D14/D9</f>
        <v>0.79693678243056543</v>
      </c>
      <c r="E24" s="51">
        <f t="shared" si="2"/>
        <v>0.72080459040764344</v>
      </c>
      <c r="F24" s="51">
        <f t="shared" si="2"/>
        <v>0.65192715988894334</v>
      </c>
      <c r="G24" s="51">
        <f t="shared" si="2"/>
        <v>0.47156033820138354</v>
      </c>
      <c r="H24" s="51">
        <f t="shared" si="2"/>
        <v>0.32342612249756947</v>
      </c>
      <c r="I24" s="51">
        <f t="shared" si="2"/>
        <v>0.1152704533010576</v>
      </c>
      <c r="J24" s="51">
        <f t="shared" si="2"/>
        <v>0.1322440343246738</v>
      </c>
      <c r="K24" s="51">
        <f t="shared" si="2"/>
        <v>0.12753068707157661</v>
      </c>
      <c r="L24" s="51">
        <f t="shared" si="2"/>
        <v>0.23667653589933382</v>
      </c>
      <c r="M24" s="51">
        <f t="shared" si="2"/>
        <v>0.49851466219594698</v>
      </c>
      <c r="N24" s="51">
        <f t="shared" si="2"/>
        <v>0.59892073215197261</v>
      </c>
      <c r="O24" s="51">
        <f t="shared" si="2"/>
        <v>0.63592103436862724</v>
      </c>
      <c r="P24" s="51">
        <f t="shared" si="2"/>
        <v>0.55736285054060997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3">D14/D11</f>
        <v>1.6918836915297093</v>
      </c>
      <c r="E25" s="4">
        <f t="shared" si="3"/>
        <v>1.4946804511278198</v>
      </c>
      <c r="F25" s="4">
        <f t="shared" si="3"/>
        <v>1.1088194444444444</v>
      </c>
      <c r="G25" s="4">
        <f t="shared" si="3"/>
        <v>0.90609230769230775</v>
      </c>
      <c r="H25" s="4">
        <f t="shared" si="3"/>
        <v>0.93683908045977005</v>
      </c>
      <c r="I25" s="4" t="e">
        <f t="shared" si="3"/>
        <v>#DIV/0!</v>
      </c>
      <c r="J25" s="4">
        <f t="shared" si="3"/>
        <v>1.9565217391304348</v>
      </c>
      <c r="K25" s="4">
        <f t="shared" si="3"/>
        <v>3.6363636363636362</v>
      </c>
      <c r="L25" s="4">
        <f t="shared" si="3"/>
        <v>0.5813636363636363</v>
      </c>
      <c r="M25" s="4">
        <f t="shared" si="3"/>
        <v>0.8247688564476886</v>
      </c>
      <c r="N25" s="4">
        <f t="shared" si="3"/>
        <v>0.9816334661354581</v>
      </c>
      <c r="O25" s="4">
        <f t="shared" si="3"/>
        <v>1.1237924528301888</v>
      </c>
      <c r="P25" s="4">
        <f t="shared" si="3"/>
        <v>1.2057047642557392</v>
      </c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 t="shared" ref="D26:P26" si="4">D14/D7</f>
        <v>43.170322580645163</v>
      </c>
      <c r="E26" s="4">
        <f t="shared" si="4"/>
        <v>28.398928571428574</v>
      </c>
      <c r="F26" s="4">
        <f t="shared" si="4"/>
        <v>20.602580645161289</v>
      </c>
      <c r="G26" s="4">
        <f t="shared" si="4"/>
        <v>9.8160000000000007</v>
      </c>
      <c r="H26" s="4">
        <f t="shared" si="4"/>
        <v>5.258387096774193</v>
      </c>
      <c r="I26" s="4">
        <f t="shared" si="4"/>
        <v>1.3333333333333333</v>
      </c>
      <c r="J26" s="4">
        <f t="shared" si="4"/>
        <v>1.4516129032258065</v>
      </c>
      <c r="K26" s="4">
        <f t="shared" si="4"/>
        <v>1.2903225806451613</v>
      </c>
      <c r="L26" s="4">
        <f t="shared" si="4"/>
        <v>3.4106666666666663</v>
      </c>
      <c r="M26" s="4">
        <f t="shared" si="4"/>
        <v>10.93483870967742</v>
      </c>
      <c r="N26" s="4">
        <f t="shared" si="4"/>
        <v>16.425999999999998</v>
      </c>
      <c r="O26" s="4">
        <f t="shared" si="4"/>
        <v>19.213225806451614</v>
      </c>
      <c r="P26" s="4">
        <f t="shared" si="4"/>
        <v>13.381671232876711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 t="shared" ref="D27:P27" si="5">D15/D7</f>
        <v>41.423861995840298</v>
      </c>
      <c r="E27" s="4">
        <f t="shared" si="5"/>
        <v>37.313629833512358</v>
      </c>
      <c r="F27" s="4">
        <f t="shared" si="5"/>
        <v>22.212157258064515</v>
      </c>
      <c r="G27" s="4">
        <f t="shared" si="5"/>
        <v>12.171840000000001</v>
      </c>
      <c r="H27" s="4">
        <f t="shared" si="5"/>
        <v>4.9864015572858724</v>
      </c>
      <c r="I27" s="4">
        <f t="shared" si="5"/>
        <v>1.3333333333333333</v>
      </c>
      <c r="J27" s="4">
        <f t="shared" si="5"/>
        <v>1.4516129032258065</v>
      </c>
      <c r="K27" s="4">
        <f t="shared" si="5"/>
        <v>1.2903225806451613</v>
      </c>
      <c r="L27" s="4">
        <f t="shared" si="5"/>
        <v>3.5656969696969694</v>
      </c>
      <c r="M27" s="4">
        <f t="shared" si="5"/>
        <v>10.269702535122834</v>
      </c>
      <c r="N27" s="4">
        <f t="shared" si="5"/>
        <v>17.865729083665336</v>
      </c>
      <c r="O27" s="4">
        <f t="shared" si="5"/>
        <v>25.085947656725502</v>
      </c>
      <c r="P27" s="4">
        <f t="shared" si="5"/>
        <v>14.79780772063952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 t="shared" ref="D28:P28" si="6">D14/$F$4</f>
        <v>4.8278499278499281</v>
      </c>
      <c r="E28" s="4">
        <f t="shared" si="6"/>
        <v>2.868578643578644</v>
      </c>
      <c r="F28" s="4">
        <f t="shared" si="6"/>
        <v>2.3040404040404039</v>
      </c>
      <c r="G28" s="4">
        <f t="shared" si="6"/>
        <v>1.0623376623376624</v>
      </c>
      <c r="H28" s="4">
        <f t="shared" si="6"/>
        <v>0.58805916305916306</v>
      </c>
      <c r="I28" s="4">
        <f t="shared" si="6"/>
        <v>0.14430014430014432</v>
      </c>
      <c r="J28" s="4">
        <f t="shared" si="6"/>
        <v>0.16233766233766234</v>
      </c>
      <c r="K28" s="4">
        <f t="shared" si="6"/>
        <v>0.14430014430014432</v>
      </c>
      <c r="L28" s="4">
        <f t="shared" si="6"/>
        <v>0.36911976911976913</v>
      </c>
      <c r="M28" s="4">
        <f t="shared" si="6"/>
        <v>1.2228715728715729</v>
      </c>
      <c r="N28" s="4">
        <f t="shared" si="6"/>
        <v>1.7777056277056278</v>
      </c>
      <c r="O28" s="4">
        <f t="shared" si="6"/>
        <v>2.1486652236652239</v>
      </c>
      <c r="P28" s="4">
        <f t="shared" si="6"/>
        <v>17.620165945165944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 t="shared" ref="D29:P29" si="7">D14/$F$3</f>
        <v>12.166181818181817</v>
      </c>
      <c r="E29" s="4">
        <f t="shared" si="7"/>
        <v>7.2288181818181823</v>
      </c>
      <c r="F29" s="4">
        <f t="shared" si="7"/>
        <v>5.8061818181818179</v>
      </c>
      <c r="G29" s="4">
        <f t="shared" si="7"/>
        <v>2.6770909090909094</v>
      </c>
      <c r="H29" s="4">
        <f t="shared" si="7"/>
        <v>1.4819090909090908</v>
      </c>
      <c r="I29" s="4">
        <f t="shared" si="7"/>
        <v>0.36363636363636365</v>
      </c>
      <c r="J29" s="4">
        <f t="shared" si="7"/>
        <v>0.40909090909090912</v>
      </c>
      <c r="K29" s="4">
        <f t="shared" si="7"/>
        <v>0.36363636363636365</v>
      </c>
      <c r="L29" s="4">
        <f t="shared" si="7"/>
        <v>0.93018181818181811</v>
      </c>
      <c r="M29" s="4">
        <f t="shared" si="7"/>
        <v>3.0816363636363637</v>
      </c>
      <c r="N29" s="4">
        <f t="shared" si="7"/>
        <v>4.4798181818181817</v>
      </c>
      <c r="O29" s="4">
        <f t="shared" si="7"/>
        <v>5.4146363636363635</v>
      </c>
      <c r="P29" s="4">
        <f t="shared" si="7"/>
        <v>44.402818181818176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8">D15/$F$4</f>
        <v>4.6325386791884897</v>
      </c>
      <c r="E30" s="4">
        <f t="shared" si="8"/>
        <v>3.7690535185366016</v>
      </c>
      <c r="F30" s="4">
        <f t="shared" si="8"/>
        <v>2.4840435606060605</v>
      </c>
      <c r="G30" s="4">
        <f t="shared" si="8"/>
        <v>1.3172987012987014</v>
      </c>
      <c r="H30" s="4">
        <f t="shared" si="8"/>
        <v>0.55764230979748219</v>
      </c>
      <c r="I30" s="4">
        <f t="shared" si="8"/>
        <v>0.14430014430014432</v>
      </c>
      <c r="J30" s="4">
        <f t="shared" si="8"/>
        <v>0.16233766233766234</v>
      </c>
      <c r="K30" s="4">
        <f t="shared" si="8"/>
        <v>0.14430014430014432</v>
      </c>
      <c r="L30" s="4">
        <f t="shared" si="8"/>
        <v>0.38589794044339493</v>
      </c>
      <c r="M30" s="4">
        <f t="shared" si="8"/>
        <v>1.1484876572467815</v>
      </c>
      <c r="N30" s="4">
        <f t="shared" si="8"/>
        <v>1.9335204636001448</v>
      </c>
      <c r="O30" s="4">
        <f t="shared" si="8"/>
        <v>2.8054270467478015</v>
      </c>
      <c r="P30" s="4">
        <f t="shared" si="8"/>
        <v>19.48484782840341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9">D15/$F$3</f>
        <v>11.673997471554992</v>
      </c>
      <c r="E31" s="4">
        <f t="shared" si="9"/>
        <v>9.4980148667122357</v>
      </c>
      <c r="F31" s="4">
        <f t="shared" si="9"/>
        <v>6.2597897727272729</v>
      </c>
      <c r="G31" s="4">
        <f t="shared" si="9"/>
        <v>3.3195927272727275</v>
      </c>
      <c r="H31" s="4">
        <f t="shared" si="9"/>
        <v>1.4052586206896551</v>
      </c>
      <c r="I31" s="4">
        <f t="shared" si="9"/>
        <v>0.36363636363636365</v>
      </c>
      <c r="J31" s="4">
        <f t="shared" si="9"/>
        <v>0.40909090909090912</v>
      </c>
      <c r="K31" s="4">
        <f t="shared" si="9"/>
        <v>0.36363636363636365</v>
      </c>
      <c r="L31" s="4">
        <f t="shared" si="9"/>
        <v>0.97246280991735523</v>
      </c>
      <c r="M31" s="4">
        <f t="shared" si="9"/>
        <v>2.8941888962618894</v>
      </c>
      <c r="N31" s="4">
        <f t="shared" si="9"/>
        <v>4.8724715682723652</v>
      </c>
      <c r="O31" s="4">
        <f t="shared" si="9"/>
        <v>7.0696761578044596</v>
      </c>
      <c r="P31" s="4">
        <f t="shared" si="9"/>
        <v>49.101816527576588</v>
      </c>
    </row>
    <row r="32" spans="1:28" ht="12" customHeight="1" x14ac:dyDescent="0.3">
      <c r="B32" s="47" t="s">
        <v>44</v>
      </c>
      <c r="C32" s="47" t="s">
        <v>48</v>
      </c>
      <c r="D32" s="4">
        <f t="shared" ref="D32:P32" si="10">1000*D28/D11</f>
        <v>6.1034765206699477</v>
      </c>
      <c r="E32" s="4">
        <f t="shared" si="10"/>
        <v>5.3920651195087297</v>
      </c>
      <c r="F32" s="4">
        <f t="shared" si="10"/>
        <v>4.0000701459034786</v>
      </c>
      <c r="G32" s="4">
        <f t="shared" si="10"/>
        <v>3.2687312687312686</v>
      </c>
      <c r="H32" s="4">
        <f t="shared" si="10"/>
        <v>3.3796503624089835</v>
      </c>
      <c r="I32" s="4" t="e">
        <f t="shared" si="10"/>
        <v>#DIV/0!</v>
      </c>
      <c r="J32" s="4">
        <f t="shared" si="10"/>
        <v>7.058159232072275</v>
      </c>
      <c r="K32" s="4">
        <f t="shared" si="10"/>
        <v>13.118194936376756</v>
      </c>
      <c r="L32" s="4">
        <f t="shared" si="10"/>
        <v>2.0972714154532337</v>
      </c>
      <c r="M32" s="4">
        <f t="shared" si="10"/>
        <v>2.9753566249916616</v>
      </c>
      <c r="N32" s="4">
        <f t="shared" si="10"/>
        <v>3.5412462703299359</v>
      </c>
      <c r="O32" s="4">
        <f t="shared" si="10"/>
        <v>4.0540853276702338</v>
      </c>
      <c r="P32" s="4">
        <f t="shared" si="10"/>
        <v>4.3495842866368655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4400*1.3</f>
        <v>5720</v>
      </c>
      <c r="E36" s="11" t="s">
        <v>26</v>
      </c>
      <c r="F36" s="51">
        <f>D36/$D$38</f>
        <v>0.58757062146892658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4015</v>
      </c>
      <c r="E37" s="55" t="s">
        <v>26</v>
      </c>
      <c r="F37" s="51">
        <f>D37/$D$38</f>
        <v>0.41242937853107342</v>
      </c>
      <c r="G37" s="11" t="s">
        <v>54</v>
      </c>
      <c r="H37" s="4"/>
      <c r="I37" s="4"/>
      <c r="J37" s="4"/>
      <c r="K37" s="4">
        <f>K36-D36</f>
        <v>2846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9735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0.33224375437777259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0.22621413242190605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82" si="11">DAYS360(B50,B51)</f>
        <v>11</v>
      </c>
      <c r="F51" s="4">
        <f t="shared" ref="F51:F82" si="12">(D51-D50)/E51</f>
        <v>8.1400000000000023</v>
      </c>
      <c r="G51" s="13">
        <v>195</v>
      </c>
      <c r="H51" s="57">
        <f t="shared" ref="H51:H56" si="13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1"/>
        <v>46</v>
      </c>
      <c r="F52" s="4">
        <f t="shared" si="12"/>
        <v>10.755217391304347</v>
      </c>
      <c r="G52" s="13">
        <v>1116</v>
      </c>
      <c r="H52" s="57">
        <f t="shared" si="13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1"/>
        <v>30</v>
      </c>
      <c r="F53" s="4">
        <f t="shared" si="12"/>
        <v>9.9096666666666646</v>
      </c>
      <c r="G53" s="13">
        <v>459</v>
      </c>
      <c r="H53" s="57">
        <f t="shared" si="13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1"/>
        <v>13</v>
      </c>
      <c r="F54" s="4">
        <f t="shared" si="12"/>
        <v>12.971538461538453</v>
      </c>
      <c r="G54" s="4">
        <v>173</v>
      </c>
      <c r="H54" s="57">
        <f t="shared" si="13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1"/>
        <v>56</v>
      </c>
      <c r="F55" s="4">
        <f t="shared" si="12"/>
        <v>10.850714285714288</v>
      </c>
      <c r="G55" s="4">
        <v>537</v>
      </c>
      <c r="H55" s="57">
        <f t="shared" si="13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1"/>
        <v>23</v>
      </c>
      <c r="F56" s="4">
        <f t="shared" si="12"/>
        <v>3.4986956521739043</v>
      </c>
      <c r="G56" s="4">
        <v>78.2</v>
      </c>
      <c r="H56" s="57">
        <f t="shared" si="13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1"/>
        <v>11</v>
      </c>
      <c r="F57" s="4">
        <f t="shared" si="12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1"/>
        <v>26</v>
      </c>
      <c r="F58" s="4">
        <f t="shared" si="12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1"/>
        <v>30</v>
      </c>
      <c r="F59" s="4">
        <f t="shared" si="12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1"/>
        <v>7</v>
      </c>
      <c r="F60" s="4">
        <f t="shared" si="12"/>
        <v>2.2728571428571223</v>
      </c>
      <c r="G60" s="4">
        <f>3.8*7</f>
        <v>26.599999999999998</v>
      </c>
      <c r="H60" s="57">
        <f t="shared" ref="H60:H76" si="14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1"/>
        <v>40</v>
      </c>
      <c r="F61" s="4">
        <f t="shared" si="12"/>
        <v>4.4192499999999999</v>
      </c>
      <c r="G61" s="4">
        <f>7*40</f>
        <v>280</v>
      </c>
      <c r="H61" s="57">
        <f t="shared" si="14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1"/>
        <v>21</v>
      </c>
      <c r="F62" s="4">
        <f t="shared" si="12"/>
        <v>8.9847619047618963</v>
      </c>
      <c r="G62" s="4">
        <f>21*12.5</f>
        <v>262.5</v>
      </c>
      <c r="H62" s="57">
        <f t="shared" si="14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1"/>
        <v>83</v>
      </c>
      <c r="F63" s="4">
        <f t="shared" si="12"/>
        <v>8.7620481927710845</v>
      </c>
      <c r="G63" s="4">
        <v>1643</v>
      </c>
      <c r="H63" s="57">
        <f t="shared" si="14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1"/>
        <v>65</v>
      </c>
      <c r="F64" s="4">
        <f t="shared" si="12"/>
        <v>8.8218461538461543</v>
      </c>
      <c r="G64" s="4">
        <f>524+505+80</f>
        <v>1109</v>
      </c>
      <c r="H64" s="57">
        <f t="shared" si="14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1"/>
        <v>28</v>
      </c>
      <c r="F65" s="4">
        <f t="shared" si="12"/>
        <v>6.7735714285714392</v>
      </c>
      <c r="G65" s="4">
        <v>372</v>
      </c>
      <c r="H65" s="57">
        <f t="shared" si="14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1"/>
        <v>21</v>
      </c>
      <c r="F66" s="4">
        <f t="shared" si="12"/>
        <v>4.8628571428571377</v>
      </c>
      <c r="G66" s="4">
        <v>125</v>
      </c>
      <c r="H66" s="57">
        <f t="shared" si="14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1"/>
        <v>31</v>
      </c>
      <c r="F67" s="4">
        <f t="shared" si="12"/>
        <v>2.5290322580645044</v>
      </c>
      <c r="G67" s="4">
        <v>8</v>
      </c>
      <c r="H67" s="57">
        <f t="shared" si="14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1"/>
        <v>52</v>
      </c>
      <c r="F68" s="4">
        <f t="shared" si="12"/>
        <v>1.4932692307692412</v>
      </c>
      <c r="G68" s="4">
        <v>5</v>
      </c>
      <c r="H68" s="57">
        <f t="shared" si="14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1"/>
        <v>61</v>
      </c>
      <c r="F69" s="4">
        <f t="shared" si="12"/>
        <v>3.4193442622950809</v>
      </c>
      <c r="G69" s="4">
        <f>70+18*(17-4)</f>
        <v>304</v>
      </c>
      <c r="H69" s="57">
        <f t="shared" si="14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1"/>
        <v>50</v>
      </c>
      <c r="F70" s="4">
        <f t="shared" si="12"/>
        <v>8.3852000000000046</v>
      </c>
      <c r="G70" s="4">
        <f>13.5*50</f>
        <v>675</v>
      </c>
      <c r="H70" s="57">
        <f t="shared" si="14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1"/>
        <v>15</v>
      </c>
      <c r="F71" s="4">
        <f t="shared" si="12"/>
        <v>8.0666666666666664</v>
      </c>
      <c r="G71" s="4">
        <f>14*15</f>
        <v>210</v>
      </c>
      <c r="H71" s="57">
        <f t="shared" si="14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1"/>
        <v>80</v>
      </c>
      <c r="F72" s="4">
        <f t="shared" si="12"/>
        <v>3.9747499999999945</v>
      </c>
      <c r="G72" s="4">
        <f>552+969</f>
        <v>1521</v>
      </c>
      <c r="H72" s="57">
        <f t="shared" si="14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1"/>
        <v>46</v>
      </c>
      <c r="F73" s="4">
        <f t="shared" si="12"/>
        <v>6.8530434782608651</v>
      </c>
      <c r="G73" s="4">
        <f>561+376</f>
        <v>937</v>
      </c>
      <c r="H73" s="57">
        <f t="shared" si="14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1"/>
        <v>30</v>
      </c>
      <c r="F74" s="4">
        <f t="shared" si="12"/>
        <v>2.7056666666666689</v>
      </c>
      <c r="G74" s="4">
        <v>23</v>
      </c>
      <c r="H74" s="57">
        <f t="shared" si="14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1"/>
        <v>32</v>
      </c>
      <c r="F75" s="4">
        <f t="shared" si="12"/>
        <v>1.9846875000000068</v>
      </c>
      <c r="G75" s="4">
        <v>37</v>
      </c>
      <c r="H75" s="57">
        <f t="shared" si="14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1"/>
        <v>27</v>
      </c>
      <c r="F76" s="4">
        <f t="shared" si="12"/>
        <v>1.7807407407407381</v>
      </c>
      <c r="G76" s="4">
        <v>0</v>
      </c>
      <c r="H76" s="57" t="e">
        <f t="shared" si="14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1"/>
        <v>14</v>
      </c>
      <c r="F77" s="4">
        <f t="shared" si="12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1"/>
        <v>22</v>
      </c>
      <c r="F78" s="4">
        <f t="shared" si="12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1"/>
        <v>48</v>
      </c>
      <c r="F79" s="4">
        <f t="shared" si="12"/>
        <v>4.2625000000000073</v>
      </c>
      <c r="G79" s="4">
        <f>125+234</f>
        <v>359</v>
      </c>
      <c r="H79" s="57">
        <f t="shared" ref="H79:H85" si="15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1"/>
        <v>69</v>
      </c>
      <c r="F80" s="4">
        <f t="shared" si="12"/>
        <v>7.9052173913043484</v>
      </c>
      <c r="G80" s="4">
        <v>1172</v>
      </c>
      <c r="H80" s="57">
        <f t="shared" si="15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1"/>
        <v>14</v>
      </c>
      <c r="F81" s="4">
        <f t="shared" si="12"/>
        <v>1.9807142857142546</v>
      </c>
      <c r="G81" s="4">
        <v>363</v>
      </c>
      <c r="H81" s="57">
        <f t="shared" si="15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1"/>
        <v>15</v>
      </c>
      <c r="F82" s="4">
        <f t="shared" si="12"/>
        <v>5.7480000000000171</v>
      </c>
      <c r="G82" s="4">
        <v>310</v>
      </c>
      <c r="H82" s="57">
        <f t="shared" si="15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ref="E83:E113" si="16">DAYS360(B82,B83)</f>
        <v>27</v>
      </c>
      <c r="F83" s="4">
        <f t="shared" ref="F83:F104" si="17">(D83-D82)/E83</f>
        <v>6.6633333333333278</v>
      </c>
      <c r="G83" s="4">
        <v>600</v>
      </c>
      <c r="H83" s="57">
        <f t="shared" si="15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16"/>
        <v>50</v>
      </c>
      <c r="F84" s="4">
        <f t="shared" si="17"/>
        <v>8.6689999999999969</v>
      </c>
      <c r="G84" s="4">
        <v>840</v>
      </c>
      <c r="H84" s="57">
        <f t="shared" si="15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16"/>
        <v>21</v>
      </c>
      <c r="F85" s="4">
        <f t="shared" si="17"/>
        <v>6.3404761904762168</v>
      </c>
      <c r="G85" s="4">
        <v>230</v>
      </c>
      <c r="H85" s="57">
        <f t="shared" si="15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16"/>
        <v>34</v>
      </c>
      <c r="F86" s="4">
        <f t="shared" si="17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16"/>
        <v>11</v>
      </c>
      <c r="F87" s="4">
        <f t="shared" si="17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16"/>
        <v>9</v>
      </c>
      <c r="F88" s="4">
        <f t="shared" si="17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16"/>
        <v>34</v>
      </c>
      <c r="F89" s="4">
        <f t="shared" si="17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16"/>
        <v>40</v>
      </c>
      <c r="F90" s="4">
        <f t="shared" si="17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16"/>
        <v>22</v>
      </c>
      <c r="F91" s="4">
        <f t="shared" si="17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16"/>
        <v>27</v>
      </c>
      <c r="F92" s="4">
        <f t="shared" si="17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16"/>
        <v>57</v>
      </c>
      <c r="F93" s="4">
        <f t="shared" si="17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>
        <v>43155</v>
      </c>
      <c r="D94" s="4">
        <v>9122.02</v>
      </c>
      <c r="E94" s="13">
        <f t="shared" si="16"/>
        <v>54</v>
      </c>
      <c r="F94" s="4">
        <f t="shared" si="17"/>
        <v>4.896111111111134</v>
      </c>
      <c r="G94" s="4">
        <v>1320</v>
      </c>
      <c r="H94" s="57">
        <f>(D94-D93)/G94</f>
        <v>0.20029545454545547</v>
      </c>
      <c r="I94" s="4"/>
      <c r="J94" s="4"/>
      <c r="K94" s="4"/>
      <c r="L94" s="4"/>
      <c r="M94" s="4"/>
      <c r="N94" s="4">
        <f>D94-D93</f>
        <v>264.39000000000124</v>
      </c>
      <c r="O94" s="4"/>
      <c r="P94" s="4"/>
    </row>
    <row r="95" spans="2:16" ht="12" customHeight="1" x14ac:dyDescent="0.25">
      <c r="B95" s="56">
        <v>43184</v>
      </c>
      <c r="D95" s="4">
        <v>9294.3700000000008</v>
      </c>
      <c r="E95" s="13">
        <f t="shared" si="16"/>
        <v>31</v>
      </c>
      <c r="F95" s="4">
        <f t="shared" si="17"/>
        <v>5.5596774193548502</v>
      </c>
      <c r="G95" s="4">
        <v>723</v>
      </c>
      <c r="H95" s="57">
        <f>(D95-D94)/G95</f>
        <v>0.23838174273858972</v>
      </c>
      <c r="I95" s="4"/>
      <c r="J95" s="4"/>
      <c r="K95" s="4"/>
      <c r="L95" s="4"/>
      <c r="M95" s="4"/>
      <c r="N95" s="4">
        <f>D95-D94</f>
        <v>172.35000000000036</v>
      </c>
      <c r="O95" s="4"/>
      <c r="P95" s="4">
        <f>D94-D83</f>
        <v>2005.7700000000004</v>
      </c>
    </row>
    <row r="96" spans="2:16" ht="12" customHeight="1" x14ac:dyDescent="0.25">
      <c r="B96" s="56">
        <v>43217</v>
      </c>
      <c r="D96" s="4">
        <v>9530.9</v>
      </c>
      <c r="E96" s="13">
        <f t="shared" si="16"/>
        <v>32</v>
      </c>
      <c r="F96" s="4">
        <f t="shared" si="17"/>
        <v>7.3915624999999636</v>
      </c>
      <c r="G96" s="4"/>
      <c r="H96" s="4"/>
      <c r="I96" s="4"/>
      <c r="J96" s="4"/>
      <c r="K96" s="4"/>
      <c r="L96" s="4"/>
      <c r="M96" s="4"/>
      <c r="N96" s="4">
        <f>D96-D95</f>
        <v>236.52999999999884</v>
      </c>
      <c r="O96" s="4"/>
      <c r="P96" s="4"/>
    </row>
    <row r="97" spans="2:17" ht="12" customHeight="1" x14ac:dyDescent="0.25">
      <c r="B97" s="56">
        <v>43241</v>
      </c>
      <c r="D97" s="4">
        <v>9598.7999999999993</v>
      </c>
      <c r="E97" s="13">
        <f t="shared" si="16"/>
        <v>24</v>
      </c>
      <c r="F97" s="4">
        <f t="shared" si="17"/>
        <v>2.8291666666666515</v>
      </c>
      <c r="G97" s="4"/>
      <c r="H97" s="4"/>
      <c r="I97" s="4"/>
      <c r="J97" s="4"/>
      <c r="K97" s="4"/>
      <c r="L97" s="4"/>
      <c r="M97" s="4"/>
      <c r="N97" s="4">
        <f>D97-D96</f>
        <v>67.899999999999636</v>
      </c>
      <c r="O97" s="4"/>
      <c r="P97" s="4"/>
    </row>
    <row r="98" spans="2:17" ht="12" customHeight="1" x14ac:dyDescent="0.25">
      <c r="B98" s="56">
        <v>43269</v>
      </c>
      <c r="D98" s="4">
        <v>9628.2800000000007</v>
      </c>
      <c r="E98" s="13">
        <f t="shared" si="16"/>
        <v>27</v>
      </c>
      <c r="F98" s="4">
        <f t="shared" si="17"/>
        <v>1.0918518518519031</v>
      </c>
      <c r="G98" s="4"/>
      <c r="H98" s="4"/>
      <c r="I98" s="4"/>
      <c r="J98" s="4"/>
      <c r="K98" s="4"/>
      <c r="L98" s="4"/>
      <c r="M98" s="4"/>
      <c r="N98" s="4">
        <f>D98-D97</f>
        <v>29.480000000001382</v>
      </c>
      <c r="O98" s="4"/>
      <c r="P98" s="4">
        <f>D98-D87</f>
        <v>1804.2700000000004</v>
      </c>
    </row>
    <row r="99" spans="2:17" ht="12" customHeight="1" x14ac:dyDescent="0.25">
      <c r="B99" s="56">
        <v>43285</v>
      </c>
      <c r="D99" s="4">
        <v>9644.2900000000009</v>
      </c>
      <c r="E99" s="13">
        <f t="shared" si="16"/>
        <v>16</v>
      </c>
      <c r="F99" s="4">
        <f t="shared" si="17"/>
        <v>1.0006250000000136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7" ht="12" customHeight="1" x14ac:dyDescent="0.25">
      <c r="B100" s="56">
        <v>43298</v>
      </c>
      <c r="D100" s="4">
        <v>9661.08</v>
      </c>
      <c r="E100" s="13">
        <f t="shared" si="16"/>
        <v>13</v>
      </c>
      <c r="F100" s="4">
        <f t="shared" si="17"/>
        <v>1.2915384615383887</v>
      </c>
      <c r="G100" s="4"/>
      <c r="H100" s="4"/>
      <c r="I100" s="4"/>
      <c r="J100" s="4"/>
      <c r="K100" s="4"/>
      <c r="L100" s="4"/>
      <c r="M100" s="4"/>
      <c r="N100" s="4">
        <f>D100-D99</f>
        <v>16.789999999999054</v>
      </c>
      <c r="O100" s="4"/>
      <c r="P100" s="4"/>
    </row>
    <row r="101" spans="2:17" ht="12" customHeight="1" x14ac:dyDescent="0.25">
      <c r="B101" s="56">
        <v>43317</v>
      </c>
      <c r="D101" s="4">
        <v>9702.4</v>
      </c>
      <c r="E101" s="13">
        <f t="shared" si="16"/>
        <v>18</v>
      </c>
      <c r="F101" s="4">
        <f t="shared" si="17"/>
        <v>2.2955555555555396</v>
      </c>
      <c r="G101" s="4"/>
      <c r="H101" s="4"/>
      <c r="I101" s="4"/>
      <c r="J101" s="4"/>
      <c r="K101" s="4"/>
      <c r="L101" s="4"/>
      <c r="M101" s="4"/>
      <c r="N101" s="4">
        <f>D101-D99</f>
        <v>58.109999999998763</v>
      </c>
      <c r="O101" s="4">
        <f>N101-N100</f>
        <v>41.319999999999709</v>
      </c>
      <c r="P101" s="4">
        <f>D101-D89</f>
        <v>1831.29</v>
      </c>
    </row>
    <row r="102" spans="2:17" ht="12" customHeight="1" x14ac:dyDescent="0.25">
      <c r="B102" s="56">
        <v>43364</v>
      </c>
      <c r="D102" s="4">
        <v>9762.31</v>
      </c>
      <c r="E102" s="13">
        <f t="shared" si="16"/>
        <v>46</v>
      </c>
      <c r="F102" s="4">
        <f t="shared" si="17"/>
        <v>1.302391304347823</v>
      </c>
      <c r="G102" s="4"/>
      <c r="H102" s="4"/>
      <c r="I102" s="4"/>
      <c r="J102" s="4"/>
      <c r="K102" s="4"/>
      <c r="L102" s="4"/>
      <c r="M102" s="4"/>
      <c r="N102" s="4">
        <f>D102-D101</f>
        <v>59.909999999999854</v>
      </c>
      <c r="O102" s="4"/>
      <c r="P102" s="4">
        <f>D102-D90</f>
        <v>1812.3099999999995</v>
      </c>
    </row>
    <row r="103" spans="2:17" ht="12" customHeight="1" x14ac:dyDescent="0.25">
      <c r="B103" s="56">
        <v>43401</v>
      </c>
      <c r="D103" s="4">
        <v>9930.7800000000007</v>
      </c>
      <c r="E103" s="13">
        <f t="shared" si="16"/>
        <v>37</v>
      </c>
      <c r="F103" s="4">
        <f t="shared" si="17"/>
        <v>4.5532432432432746</v>
      </c>
      <c r="G103" s="4"/>
      <c r="H103" s="4"/>
      <c r="I103" s="4"/>
      <c r="J103" s="4"/>
      <c r="K103" s="4"/>
      <c r="L103" s="4"/>
      <c r="M103" s="4"/>
      <c r="N103" s="4">
        <f>D103-D101</f>
        <v>228.38000000000102</v>
      </c>
      <c r="O103" s="4"/>
      <c r="P103" s="4"/>
      <c r="Q103" s="14"/>
    </row>
    <row r="104" spans="2:17" ht="12" customHeight="1" x14ac:dyDescent="0.25">
      <c r="B104" s="56">
        <v>43442</v>
      </c>
      <c r="D104" s="4">
        <v>10300.530000000001</v>
      </c>
      <c r="E104" s="13">
        <f t="shared" si="16"/>
        <v>40</v>
      </c>
      <c r="F104" s="4">
        <f t="shared" si="17"/>
        <v>9.2437500000000004</v>
      </c>
      <c r="G104" s="4">
        <f>SUM(M11:N11)</f>
        <v>913</v>
      </c>
      <c r="H104" s="57">
        <f>(D104-D103)/G104</f>
        <v>0.40498357064622126</v>
      </c>
      <c r="I104" s="4"/>
      <c r="J104" s="4"/>
      <c r="K104" s="4"/>
      <c r="L104" s="4"/>
      <c r="M104" s="4"/>
      <c r="N104" s="4">
        <f>D104-D103</f>
        <v>369.75</v>
      </c>
      <c r="O104" s="4"/>
      <c r="P104" s="4"/>
    </row>
    <row r="105" spans="2:17" ht="12" customHeight="1" x14ac:dyDescent="0.25">
      <c r="B105" s="56">
        <v>43464</v>
      </c>
      <c r="D105" s="4">
        <v>531.5</v>
      </c>
      <c r="E105" s="13">
        <f t="shared" si="16"/>
        <v>22</v>
      </c>
      <c r="F105" s="4">
        <f>(D105-D104+10000)/E105</f>
        <v>10.498636363636335</v>
      </c>
      <c r="G105" s="4"/>
      <c r="H105" s="4"/>
      <c r="I105" s="4"/>
      <c r="J105" s="4"/>
      <c r="K105" s="4"/>
      <c r="L105" s="4"/>
      <c r="M105" s="4"/>
      <c r="N105" s="4">
        <f>D105-D104+10000</f>
        <v>230.96999999999935</v>
      </c>
      <c r="O105" s="4"/>
      <c r="P105" s="4">
        <f>D105-D93+10000</f>
        <v>1673.8700000000008</v>
      </c>
    </row>
    <row r="106" spans="2:17" ht="12" customHeight="1" x14ac:dyDescent="0.25">
      <c r="B106" s="56">
        <v>43547</v>
      </c>
      <c r="D106" s="4">
        <v>994.26</v>
      </c>
      <c r="E106" s="13">
        <f t="shared" si="16"/>
        <v>83</v>
      </c>
      <c r="F106" s="4">
        <f t="shared" ref="F106:F113" si="18">(D106-D105)/E106</f>
        <v>5.5754216867469877</v>
      </c>
      <c r="G106" s="4"/>
      <c r="H106" s="4"/>
      <c r="I106" s="4"/>
      <c r="J106" s="4"/>
      <c r="K106" s="4"/>
      <c r="L106" s="4"/>
      <c r="M106" s="4"/>
      <c r="N106" s="4">
        <f t="shared" ref="N106:N113" si="19">D106-D105</f>
        <v>462.76</v>
      </c>
      <c r="O106" s="4"/>
      <c r="P106" s="4">
        <f>D106-D95+10000</f>
        <v>1699.8899999999994</v>
      </c>
    </row>
    <row r="107" spans="2:17" ht="12" customHeight="1" x14ac:dyDescent="0.25">
      <c r="B107" s="56">
        <v>43582</v>
      </c>
      <c r="D107" s="4">
        <v>1190.8699999999999</v>
      </c>
      <c r="E107" s="13">
        <f t="shared" si="16"/>
        <v>34</v>
      </c>
      <c r="F107" s="4">
        <f t="shared" si="18"/>
        <v>5.7826470588235264</v>
      </c>
      <c r="G107" s="4"/>
      <c r="H107" s="4"/>
      <c r="I107" s="4"/>
      <c r="J107" s="4"/>
      <c r="K107" s="4"/>
      <c r="L107" s="4"/>
      <c r="M107" s="4"/>
      <c r="N107" s="4">
        <f t="shared" si="19"/>
        <v>196.6099999999999</v>
      </c>
      <c r="O107" s="4"/>
      <c r="P107" s="4">
        <f>D107-D96+10000</f>
        <v>1659.9700000000012</v>
      </c>
    </row>
    <row r="108" spans="2:17" ht="12" customHeight="1" x14ac:dyDescent="0.25">
      <c r="B108" s="56">
        <v>43622</v>
      </c>
      <c r="D108" s="4">
        <v>1333.82</v>
      </c>
      <c r="E108" s="13">
        <f t="shared" si="16"/>
        <v>39</v>
      </c>
      <c r="F108" s="4">
        <f t="shared" si="18"/>
        <v>3.6653846153846166</v>
      </c>
      <c r="G108" s="4"/>
      <c r="H108" s="4"/>
      <c r="I108" s="4"/>
      <c r="J108" s="4"/>
      <c r="K108" s="4"/>
      <c r="L108" s="4"/>
      <c r="M108" s="4"/>
      <c r="N108" s="4">
        <f t="shared" si="19"/>
        <v>142.95000000000005</v>
      </c>
      <c r="O108" s="4"/>
      <c r="P108" s="4">
        <f>D108-D98+10000</f>
        <v>1705.5399999999991</v>
      </c>
    </row>
    <row r="109" spans="2:17" ht="12" customHeight="1" x14ac:dyDescent="0.25">
      <c r="B109" s="56">
        <v>43670</v>
      </c>
      <c r="D109" s="4">
        <v>1398.19</v>
      </c>
      <c r="E109" s="13">
        <f t="shared" si="16"/>
        <v>48</v>
      </c>
      <c r="F109" s="4">
        <f t="shared" si="18"/>
        <v>1.3410416666666691</v>
      </c>
      <c r="G109" s="4"/>
      <c r="H109" s="4"/>
      <c r="I109" s="4"/>
      <c r="J109" s="4"/>
      <c r="K109" s="4"/>
      <c r="L109" s="4"/>
      <c r="M109" s="4"/>
      <c r="N109" s="4">
        <f t="shared" si="19"/>
        <v>64.370000000000118</v>
      </c>
      <c r="O109" s="4"/>
      <c r="P109" s="4"/>
    </row>
    <row r="110" spans="2:17" ht="12" customHeight="1" x14ac:dyDescent="0.25">
      <c r="B110" s="56">
        <v>43681</v>
      </c>
      <c r="D110" s="4">
        <v>1419.41</v>
      </c>
      <c r="E110" s="13">
        <f t="shared" si="16"/>
        <v>10</v>
      </c>
      <c r="F110" s="4">
        <f t="shared" si="18"/>
        <v>2.1220000000000026</v>
      </c>
      <c r="G110" s="4"/>
      <c r="H110" s="4"/>
      <c r="I110" s="4"/>
      <c r="J110" s="4"/>
      <c r="K110" s="4"/>
      <c r="L110" s="4"/>
      <c r="M110" s="4"/>
      <c r="N110" s="4">
        <f t="shared" si="19"/>
        <v>21.220000000000027</v>
      </c>
      <c r="O110" s="4"/>
      <c r="P110" s="4">
        <f>D110-D101+10000</f>
        <v>1717.0100000000002</v>
      </c>
    </row>
    <row r="111" spans="2:17" ht="12" customHeight="1" x14ac:dyDescent="0.3">
      <c r="B111" s="56">
        <v>43744</v>
      </c>
      <c r="D111" s="47">
        <v>1581.94</v>
      </c>
      <c r="E111" s="13">
        <f t="shared" si="16"/>
        <v>62</v>
      </c>
      <c r="F111" s="4">
        <f t="shared" si="18"/>
        <v>2.6214516129032255</v>
      </c>
      <c r="G111" s="4"/>
      <c r="H111" s="4"/>
      <c r="I111" s="4"/>
      <c r="J111" s="4"/>
      <c r="K111" s="4"/>
      <c r="L111" s="4"/>
      <c r="M111" s="4"/>
      <c r="N111" s="4">
        <f t="shared" si="19"/>
        <v>162.52999999999997</v>
      </c>
      <c r="O111" s="4"/>
      <c r="P111" s="4"/>
    </row>
    <row r="112" spans="2:17" ht="12" customHeight="1" x14ac:dyDescent="0.25">
      <c r="B112" s="56">
        <v>43806</v>
      </c>
      <c r="D112" s="4">
        <v>2125.79</v>
      </c>
      <c r="E112" s="13">
        <f t="shared" si="16"/>
        <v>61</v>
      </c>
      <c r="F112" s="4">
        <f t="shared" si="18"/>
        <v>8.9155737704918021</v>
      </c>
      <c r="G112" s="4"/>
      <c r="H112" s="4"/>
      <c r="I112" s="4"/>
      <c r="J112" s="4"/>
      <c r="K112" s="4"/>
      <c r="L112" s="4"/>
      <c r="M112" s="4"/>
      <c r="N112" s="4">
        <f t="shared" si="19"/>
        <v>543.84999999999991</v>
      </c>
      <c r="O112" s="4"/>
      <c r="P112" s="4">
        <f>D112-D104+10000</f>
        <v>1825.2599999999993</v>
      </c>
    </row>
    <row r="113" spans="2:16" ht="12" customHeight="1" x14ac:dyDescent="0.25">
      <c r="B113" s="56">
        <v>43827</v>
      </c>
      <c r="D113" s="4">
        <v>2323.56</v>
      </c>
      <c r="E113" s="13">
        <f t="shared" si="16"/>
        <v>21</v>
      </c>
      <c r="F113" s="4">
        <f t="shared" si="18"/>
        <v>9.4176190476190467</v>
      </c>
      <c r="G113" s="4"/>
      <c r="H113" s="4"/>
      <c r="I113" s="4"/>
      <c r="J113" s="4"/>
      <c r="K113" s="4"/>
      <c r="L113" s="4"/>
      <c r="M113" s="4"/>
      <c r="N113" s="4">
        <f t="shared" si="19"/>
        <v>197.76999999999998</v>
      </c>
      <c r="O113" s="4"/>
      <c r="P113" s="4">
        <f>D113-D105</f>
        <v>1792.06</v>
      </c>
    </row>
    <row r="114" spans="2:16" ht="12" customHeight="1" x14ac:dyDescent="0.25">
      <c r="B114" s="5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2:16" ht="12" customHeight="1" x14ac:dyDescent="0.25">
      <c r="B115" s="5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2:16" ht="12" customHeight="1" x14ac:dyDescent="0.25">
      <c r="B116" s="5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2:16" ht="12" customHeight="1" x14ac:dyDescent="0.25">
      <c r="B117" s="5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2:16" ht="12" customHeight="1" x14ac:dyDescent="0.25">
      <c r="B118" s="5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2:16" ht="12" customHeight="1" x14ac:dyDescent="0.25">
      <c r="B119" s="5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2:16" ht="12" customHeight="1" x14ac:dyDescent="0.25">
      <c r="B120" s="5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2:16" ht="12" customHeight="1" x14ac:dyDescent="0.25">
      <c r="B121" s="5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2:16" ht="12" customHeight="1" x14ac:dyDescent="0.25">
      <c r="B122" s="5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2:16" ht="12" customHeight="1" x14ac:dyDescent="0.25">
      <c r="B123" s="5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2:16" ht="12" customHeight="1" x14ac:dyDescent="0.25">
      <c r="B124" s="5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2:16" ht="12" customHeight="1" x14ac:dyDescent="0.25">
      <c r="B125" s="5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2:16" ht="12" customHeight="1" x14ac:dyDescent="0.25">
      <c r="B126" s="5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2:16" ht="12" customHeight="1" x14ac:dyDescent="0.25">
      <c r="B127" s="5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2:16" ht="12" customHeight="1" x14ac:dyDescent="0.25">
      <c r="B128" s="5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2:16" ht="12" customHeight="1" x14ac:dyDescent="0.25">
      <c r="B129" s="5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2:16" ht="12" customHeight="1" x14ac:dyDescent="0.25">
      <c r="B130" s="5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2:16" ht="12" customHeight="1" x14ac:dyDescent="0.25">
      <c r="B131" s="5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2:16" ht="12" customHeight="1" x14ac:dyDescent="0.25">
      <c r="B132" s="5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 ht="12" customHeight="1" x14ac:dyDescent="0.25">
      <c r="B133" s="5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 ht="12" customHeight="1" x14ac:dyDescent="0.25">
      <c r="B134" s="5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 ht="12" customHeight="1" x14ac:dyDescent="0.25">
      <c r="B135" s="5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 ht="12" customHeight="1" x14ac:dyDescent="0.25">
      <c r="B136" s="5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 ht="12" customHeight="1" x14ac:dyDescent="0.25">
      <c r="B137" s="5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 ht="12" customHeight="1" x14ac:dyDescent="0.25">
      <c r="B138" s="5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 ht="12" customHeight="1" x14ac:dyDescent="0.25">
      <c r="B139" s="5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 ht="12" customHeight="1" x14ac:dyDescent="0.25">
      <c r="B140" s="5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 ht="12" customHeight="1" x14ac:dyDescent="0.25">
      <c r="B141" s="5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 ht="12" customHeight="1" x14ac:dyDescent="0.25">
      <c r="B142" s="5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 ht="12" customHeight="1" x14ac:dyDescent="0.25">
      <c r="B143" s="5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 ht="12" customHeight="1" x14ac:dyDescent="0.25">
      <c r="B144" s="5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 ht="12" customHeight="1" x14ac:dyDescent="0.25">
      <c r="B145" s="5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zoomScaleNormal="100" workbookViewId="0">
      <selection activeCell="P8" sqref="P8:P15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5" width="8.6640625" customWidth="1"/>
    <col min="26" max="26" width="14.6640625" customWidth="1"/>
    <col min="27" max="28" width="8.6640625" customWidth="1"/>
  </cols>
  <sheetData>
    <row r="1" spans="1:28" ht="12" customHeight="1" x14ac:dyDescent="0.3">
      <c r="A1" s="2" t="s">
        <v>0</v>
      </c>
      <c r="D1" s="3">
        <v>2018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61"/>
      <c r="S1" s="62"/>
    </row>
    <row r="2" spans="1:28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2"/>
      <c r="P2" s="4"/>
      <c r="Q2" s="8"/>
      <c r="R2" s="60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11</v>
      </c>
      <c r="L3" s="11" t="s">
        <v>5</v>
      </c>
      <c r="M3" s="4"/>
      <c r="N3" s="4"/>
      <c r="O3" s="32"/>
      <c r="P3" s="4"/>
      <c r="Q3" s="8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SUM(I9:K9)/92</f>
        <v>10.90836956521739</v>
      </c>
      <c r="L4" s="11" t="s">
        <v>5</v>
      </c>
      <c r="M4" s="11"/>
      <c r="N4" s="11"/>
      <c r="O4" s="64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ht="21" customHeight="1" x14ac:dyDescent="0.25">
      <c r="A8" s="25">
        <v>2018</v>
      </c>
      <c r="B8" s="26" t="s">
        <v>23</v>
      </c>
      <c r="C8" s="30" t="s">
        <v>65</v>
      </c>
      <c r="D8" s="28">
        <v>-4.4000000000000004</v>
      </c>
      <c r="E8" s="28">
        <v>-10.1</v>
      </c>
      <c r="F8" s="28">
        <v>-6.3</v>
      </c>
      <c r="G8" s="28">
        <v>4.0999999999999996</v>
      </c>
      <c r="H8" s="28">
        <v>13.7</v>
      </c>
      <c r="I8" s="28">
        <v>14.9</v>
      </c>
      <c r="J8" s="28">
        <v>20.3</v>
      </c>
      <c r="K8" s="28">
        <v>17.7</v>
      </c>
      <c r="L8" s="28">
        <v>12.1</v>
      </c>
      <c r="M8" s="28">
        <v>5.6</v>
      </c>
      <c r="N8" s="28">
        <v>1.8</v>
      </c>
      <c r="O8" s="28">
        <v>-4.4000000000000004</v>
      </c>
      <c r="P8" s="28">
        <f>AVERAGE(D8:O8)</f>
        <v>5.4166666666666652</v>
      </c>
      <c r="T8" s="29"/>
      <c r="U8" s="8"/>
      <c r="Z8" s="83"/>
      <c r="AA8" s="83"/>
    </row>
    <row r="9" spans="1:28" ht="12" customHeight="1" x14ac:dyDescent="0.25">
      <c r="A9" s="25">
        <v>2018</v>
      </c>
      <c r="B9" s="26" t="s">
        <v>25</v>
      </c>
      <c r="C9" s="30" t="s">
        <v>26</v>
      </c>
      <c r="D9" s="31">
        <v>1293.5</v>
      </c>
      <c r="E9" s="31">
        <v>1590.2</v>
      </c>
      <c r="F9" s="32">
        <v>1276.76</v>
      </c>
      <c r="G9" s="32">
        <v>681.4</v>
      </c>
      <c r="H9" s="32">
        <v>383.53</v>
      </c>
      <c r="I9" s="32">
        <v>374.06</v>
      </c>
      <c r="J9" s="32">
        <v>324</v>
      </c>
      <c r="K9" s="32">
        <v>305.51</v>
      </c>
      <c r="L9" s="32">
        <v>387.42</v>
      </c>
      <c r="M9" s="32">
        <v>676.1</v>
      </c>
      <c r="N9" s="32">
        <v>782.69</v>
      </c>
      <c r="O9" s="32">
        <v>1200.74</v>
      </c>
      <c r="P9" s="33">
        <f>SUM(D9:O9)</f>
        <v>9275.91</v>
      </c>
      <c r="Q9" s="34"/>
      <c r="R9" s="34"/>
      <c r="S9" s="35"/>
      <c r="T9" s="36"/>
      <c r="U9" s="34"/>
      <c r="Z9" s="37"/>
      <c r="AB9" s="37"/>
    </row>
    <row r="10" spans="1:28" ht="12" customHeight="1" x14ac:dyDescent="0.25">
      <c r="A10" s="25">
        <v>2018</v>
      </c>
      <c r="B10" s="26" t="s">
        <v>28</v>
      </c>
      <c r="C10" s="30" t="s">
        <v>26</v>
      </c>
      <c r="D10" s="43">
        <f>5*31</f>
        <v>155</v>
      </c>
      <c r="E10" s="43">
        <f>5*28</f>
        <v>140</v>
      </c>
      <c r="F10" s="43">
        <f>31*5.5</f>
        <v>170.5</v>
      </c>
      <c r="G10" s="43">
        <f>8.6*30</f>
        <v>258</v>
      </c>
      <c r="H10" s="43">
        <v>80</v>
      </c>
      <c r="I10" s="43">
        <v>35</v>
      </c>
      <c r="J10" s="43">
        <v>55</v>
      </c>
      <c r="K10" s="43">
        <v>10</v>
      </c>
      <c r="L10" s="43">
        <v>60</v>
      </c>
      <c r="M10" s="43">
        <v>160</v>
      </c>
      <c r="N10" s="43">
        <v>240</v>
      </c>
      <c r="O10" s="43">
        <f>10.5*31</f>
        <v>325.5</v>
      </c>
      <c r="P10" s="43">
        <f>SUM(D10:O10)</f>
        <v>1689</v>
      </c>
      <c r="Q10" s="34"/>
      <c r="R10" s="34"/>
      <c r="T10" s="36"/>
      <c r="U10" s="34"/>
      <c r="V10" s="35"/>
    </row>
    <row r="11" spans="1:28" ht="12" customHeight="1" x14ac:dyDescent="0.25">
      <c r="A11" s="25">
        <v>2018</v>
      </c>
      <c r="B11" s="40" t="s">
        <v>29</v>
      </c>
      <c r="C11" s="30" t="s">
        <v>66</v>
      </c>
      <c r="D11" s="32">
        <v>664</v>
      </c>
      <c r="E11" s="32">
        <v>759</v>
      </c>
      <c r="F11" s="32">
        <v>723</v>
      </c>
      <c r="G11" s="32">
        <v>377</v>
      </c>
      <c r="H11" s="32">
        <v>47</v>
      </c>
      <c r="I11" s="32">
        <v>32</v>
      </c>
      <c r="J11" s="32">
        <v>0</v>
      </c>
      <c r="K11" s="32">
        <v>0</v>
      </c>
      <c r="L11" s="32">
        <v>111</v>
      </c>
      <c r="M11" s="32">
        <v>351</v>
      </c>
      <c r="N11" s="32">
        <v>456</v>
      </c>
      <c r="O11" s="32">
        <v>663</v>
      </c>
      <c r="P11" s="32">
        <f>SUM(D11:O11)</f>
        <v>4183</v>
      </c>
      <c r="Q11" s="42"/>
      <c r="R11" s="42"/>
      <c r="S11" s="35"/>
      <c r="T11" s="34"/>
      <c r="U11" s="34"/>
      <c r="V11" s="35"/>
    </row>
    <row r="12" spans="1:28" ht="12" customHeight="1" x14ac:dyDescent="0.25">
      <c r="A12" s="25">
        <v>2018</v>
      </c>
      <c r="B12" s="40" t="s">
        <v>31</v>
      </c>
      <c r="C12" s="30" t="s">
        <v>66</v>
      </c>
      <c r="D12" s="32">
        <v>759</v>
      </c>
      <c r="E12" s="32">
        <v>699</v>
      </c>
      <c r="F12" s="32">
        <v>621</v>
      </c>
      <c r="G12" s="32">
        <v>403</v>
      </c>
      <c r="H12" s="32">
        <v>165</v>
      </c>
      <c r="I12" s="32">
        <v>22</v>
      </c>
      <c r="J12" s="32">
        <v>5</v>
      </c>
      <c r="K12" s="32">
        <v>28</v>
      </c>
      <c r="L12" s="32">
        <v>184</v>
      </c>
      <c r="M12" s="32">
        <v>386</v>
      </c>
      <c r="N12" s="32">
        <v>546</v>
      </c>
      <c r="O12" s="32">
        <v>692</v>
      </c>
      <c r="P12" s="32">
        <v>4510</v>
      </c>
      <c r="R12" s="42"/>
      <c r="T12" s="36"/>
      <c r="U12" s="34"/>
      <c r="V12" s="34"/>
    </row>
    <row r="13" spans="1:28" ht="12" customHeight="1" x14ac:dyDescent="0.25">
      <c r="A13" s="25">
        <v>2018</v>
      </c>
      <c r="B13" s="26" t="s">
        <v>32</v>
      </c>
      <c r="C13" s="30" t="s">
        <v>26</v>
      </c>
      <c r="D13" s="32">
        <f t="shared" ref="D13:O13" si="0">$K$3*D7</f>
        <v>341</v>
      </c>
      <c r="E13" s="32">
        <f t="shared" si="0"/>
        <v>308</v>
      </c>
      <c r="F13" s="32">
        <f t="shared" si="0"/>
        <v>341</v>
      </c>
      <c r="G13" s="32">
        <f t="shared" si="0"/>
        <v>330</v>
      </c>
      <c r="H13" s="32">
        <f t="shared" si="0"/>
        <v>341</v>
      </c>
      <c r="I13" s="32">
        <f t="shared" si="0"/>
        <v>330</v>
      </c>
      <c r="J13" s="32">
        <f t="shared" si="0"/>
        <v>341</v>
      </c>
      <c r="K13" s="32">
        <f t="shared" si="0"/>
        <v>341</v>
      </c>
      <c r="L13" s="32">
        <f t="shared" si="0"/>
        <v>330</v>
      </c>
      <c r="M13" s="32">
        <f t="shared" si="0"/>
        <v>341</v>
      </c>
      <c r="N13" s="32">
        <f t="shared" si="0"/>
        <v>330</v>
      </c>
      <c r="O13" s="32">
        <f t="shared" si="0"/>
        <v>341</v>
      </c>
      <c r="P13" s="32">
        <f>SUM(D13:O13)</f>
        <v>4015</v>
      </c>
      <c r="T13" s="36"/>
      <c r="U13" s="34"/>
    </row>
    <row r="14" spans="1:28" ht="12" customHeight="1" x14ac:dyDescent="0.25">
      <c r="A14" s="25">
        <v>2018</v>
      </c>
      <c r="B14" s="26" t="s">
        <v>33</v>
      </c>
      <c r="C14" s="30" t="s">
        <v>26</v>
      </c>
      <c r="D14" s="32">
        <f>D9-D13</f>
        <v>952.5</v>
      </c>
      <c r="E14" s="32">
        <f>E9-E13</f>
        <v>1282.2</v>
      </c>
      <c r="F14" s="32">
        <f>F9-F13</f>
        <v>935.76</v>
      </c>
      <c r="G14" s="32">
        <f>G9-G13</f>
        <v>351.4</v>
      </c>
      <c r="H14" s="32">
        <f>H9-H13</f>
        <v>42.529999999999973</v>
      </c>
      <c r="I14" s="43">
        <f>I10</f>
        <v>35</v>
      </c>
      <c r="J14" s="43">
        <f>J10</f>
        <v>55</v>
      </c>
      <c r="K14" s="43">
        <f>K10</f>
        <v>10</v>
      </c>
      <c r="L14" s="32">
        <f>L9-L13</f>
        <v>57.420000000000016</v>
      </c>
      <c r="M14" s="32">
        <f>M9-M13</f>
        <v>335.1</v>
      </c>
      <c r="N14" s="32">
        <f>N9-N13</f>
        <v>452.69000000000005</v>
      </c>
      <c r="O14" s="32">
        <f>O9-O13</f>
        <v>859.74</v>
      </c>
      <c r="P14" s="32">
        <f>SUM(D14:O14)</f>
        <v>5369.34</v>
      </c>
      <c r="R14" s="35"/>
      <c r="T14" s="36"/>
      <c r="U14" s="34"/>
    </row>
    <row r="15" spans="1:28" ht="12" customHeight="1" x14ac:dyDescent="0.25">
      <c r="A15" s="25">
        <v>2018</v>
      </c>
      <c r="B15" s="26" t="s">
        <v>34</v>
      </c>
      <c r="C15" s="30" t="s">
        <v>26</v>
      </c>
      <c r="D15" s="32">
        <f>IF(D14&lt;0,0,((D12/D11))*D14)</f>
        <v>1088.7763554216867</v>
      </c>
      <c r="E15" s="32">
        <f>IF(E14&lt;0,0,((E12/E11))*E14)</f>
        <v>1180.8403162055336</v>
      </c>
      <c r="F15" s="32">
        <f>IF(F14&lt;0,0,((F12/F11))*F14)</f>
        <v>803.74406639004144</v>
      </c>
      <c r="G15" s="32">
        <f>IF(G14&lt;0,0,((G12/G11))*G14)</f>
        <v>375.63448275862066</v>
      </c>
      <c r="H15" s="32">
        <f>IF(H14&lt;0,0,((H12/H11))*H14)</f>
        <v>149.30744680851055</v>
      </c>
      <c r="I15" s="32">
        <f>I14</f>
        <v>35</v>
      </c>
      <c r="J15" s="32">
        <f>J14</f>
        <v>55</v>
      </c>
      <c r="K15" s="32">
        <f>K14</f>
        <v>10</v>
      </c>
      <c r="L15" s="32">
        <f>IF(L14&lt;0,0,((L12/L11))*L14)</f>
        <v>95.182702702702727</v>
      </c>
      <c r="M15" s="32">
        <f>IF(M14&lt;0,0,((M12/M11))*M14)</f>
        <v>368.51452991452993</v>
      </c>
      <c r="N15" s="32">
        <f>IF(N14&lt;0,0,((N12/N11))*N14)</f>
        <v>542.03671052631591</v>
      </c>
      <c r="O15" s="32">
        <f>IF(O14&lt;0,0,((O12/O11))*O14)</f>
        <v>897.34552036199102</v>
      </c>
      <c r="P15" s="33">
        <f>SUM(D15:O15)</f>
        <v>5601.382131089933</v>
      </c>
      <c r="Q15" s="44"/>
      <c r="R15" s="45"/>
      <c r="T15" s="36"/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1">D9/D7</f>
        <v>41.725806451612904</v>
      </c>
      <c r="E18" s="4">
        <f t="shared" si="1"/>
        <v>56.792857142857144</v>
      </c>
      <c r="F18" s="4">
        <f t="shared" si="1"/>
        <v>41.185806451612905</v>
      </c>
      <c r="G18" s="4">
        <f t="shared" si="1"/>
        <v>22.713333333333331</v>
      </c>
      <c r="H18" s="4">
        <f t="shared" si="1"/>
        <v>12.371935483870967</v>
      </c>
      <c r="I18" s="4">
        <f t="shared" si="1"/>
        <v>12.468666666666667</v>
      </c>
      <c r="J18" s="4">
        <f t="shared" si="1"/>
        <v>10.451612903225806</v>
      </c>
      <c r="K18" s="4">
        <f t="shared" si="1"/>
        <v>9.8551612903225809</v>
      </c>
      <c r="L18" s="4">
        <f t="shared" si="1"/>
        <v>12.914</v>
      </c>
      <c r="M18" s="4">
        <f t="shared" si="1"/>
        <v>21.809677419354838</v>
      </c>
      <c r="N18" s="4">
        <f t="shared" si="1"/>
        <v>26.08966666666667</v>
      </c>
      <c r="O18" s="4">
        <f t="shared" si="1"/>
        <v>38.733548387096775</v>
      </c>
      <c r="P18" s="4" t="e">
        <f>#REF!/365</f>
        <v>#REF!</v>
      </c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1293.5</v>
      </c>
      <c r="E19" s="4">
        <f>SUM($D$9:E9)</f>
        <v>2883.7</v>
      </c>
      <c r="F19" s="4">
        <f>SUM($D$9:F9)</f>
        <v>4160.46</v>
      </c>
      <c r="G19" s="4">
        <f>SUM($D$9:G9)</f>
        <v>4841.8599999999997</v>
      </c>
      <c r="H19" s="4">
        <f>SUM($D$9:H9)</f>
        <v>5225.3899999999994</v>
      </c>
      <c r="I19" s="4">
        <f>SUM($D$9:I9)</f>
        <v>5599.45</v>
      </c>
      <c r="J19" s="4">
        <f>SUM($D$9:J9)</f>
        <v>5923.45</v>
      </c>
      <c r="K19" s="4">
        <f>SUM($D$9:K9)</f>
        <v>6228.96</v>
      </c>
      <c r="L19" s="4">
        <f>SUM($D$9:L9)</f>
        <v>6616.38</v>
      </c>
      <c r="M19" s="4">
        <f>SUM($D$9:M9)</f>
        <v>7292.4800000000005</v>
      </c>
      <c r="N19" s="4">
        <f>SUM($D$9:N9)</f>
        <v>8075.17</v>
      </c>
      <c r="O19" s="4">
        <f>SUM($D$9:O9)</f>
        <v>9275.91</v>
      </c>
      <c r="P19" s="4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155</v>
      </c>
      <c r="E20" s="4">
        <f>SUM($D$10:E10)</f>
        <v>295</v>
      </c>
      <c r="F20" s="4">
        <f>SUM($D$10:F10)</f>
        <v>465.5</v>
      </c>
      <c r="G20" s="4">
        <f>SUM($D$10:G10)</f>
        <v>723.5</v>
      </c>
      <c r="H20" s="4">
        <f>SUM($D$10:H10)</f>
        <v>803.5</v>
      </c>
      <c r="I20" s="4">
        <f>SUM($D$10:I10)</f>
        <v>838.5</v>
      </c>
      <c r="J20" s="4">
        <f>SUM($D$10:J10)</f>
        <v>893.5</v>
      </c>
      <c r="K20" s="4">
        <f>SUM($D$10:K10)</f>
        <v>903.5</v>
      </c>
      <c r="L20" s="4">
        <f>SUM($D$10:L10)</f>
        <v>963.5</v>
      </c>
      <c r="M20" s="4">
        <f>SUM($D$10:M10)</f>
        <v>1123.5</v>
      </c>
      <c r="N20" s="4">
        <f>SUM($D$10:N10)</f>
        <v>1363.5</v>
      </c>
      <c r="O20" s="4">
        <f>SUM($D$10:O10)</f>
        <v>1689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952.5</v>
      </c>
      <c r="E21" s="4">
        <f>SUM($D$14:E14)</f>
        <v>2234.6999999999998</v>
      </c>
      <c r="F21" s="4">
        <f>SUM($D$14:F14)</f>
        <v>3170.46</v>
      </c>
      <c r="G21" s="4">
        <f>SUM($D$14:G14)</f>
        <v>3521.86</v>
      </c>
      <c r="H21" s="4">
        <f>SUM($D$14:H14)</f>
        <v>3564.3900000000003</v>
      </c>
      <c r="I21" s="4">
        <f>SUM($D$14:I14)</f>
        <v>3599.3900000000003</v>
      </c>
      <c r="J21" s="4">
        <f>SUM($D$14:J14)</f>
        <v>3654.3900000000003</v>
      </c>
      <c r="K21" s="4">
        <f>SUM($D$14:K14)</f>
        <v>3664.3900000000003</v>
      </c>
      <c r="L21" s="4">
        <f>SUM($D$14:L14)</f>
        <v>3721.8100000000004</v>
      </c>
      <c r="M21" s="4">
        <f>SUM($D$14:M14)</f>
        <v>4056.9100000000003</v>
      </c>
      <c r="N21" s="4">
        <f>SUM($D$14:N14)</f>
        <v>4509.6000000000004</v>
      </c>
      <c r="O21" s="4">
        <f>SUM($D$14:O14)</f>
        <v>5369.34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2">D14/D9</f>
        <v>0.73637417858523391</v>
      </c>
      <c r="E24" s="51">
        <f t="shared" si="2"/>
        <v>0.80631367123632247</v>
      </c>
      <c r="F24" s="51">
        <f t="shared" si="2"/>
        <v>0.73291769792286721</v>
      </c>
      <c r="G24" s="51">
        <f t="shared" si="2"/>
        <v>0.51570296448488406</v>
      </c>
      <c r="H24" s="51">
        <f t="shared" si="2"/>
        <v>0.1108909342163585</v>
      </c>
      <c r="I24" s="51">
        <f t="shared" si="2"/>
        <v>9.3567876811206763E-2</v>
      </c>
      <c r="J24" s="51">
        <f t="shared" si="2"/>
        <v>0.16975308641975309</v>
      </c>
      <c r="K24" s="51">
        <f t="shared" si="2"/>
        <v>3.273215279368924E-2</v>
      </c>
      <c r="L24" s="51">
        <f t="shared" si="2"/>
        <v>0.14821124361158436</v>
      </c>
      <c r="M24" s="51">
        <f t="shared" si="2"/>
        <v>0.49563674012720016</v>
      </c>
      <c r="N24" s="51">
        <f t="shared" si="2"/>
        <v>0.57837713526428092</v>
      </c>
      <c r="O24" s="51">
        <f t="shared" si="2"/>
        <v>0.71600846144877328</v>
      </c>
      <c r="P24" s="51">
        <f t="shared" si="2"/>
        <v>0.57884778959692362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3">D14/D11</f>
        <v>1.4344879518072289</v>
      </c>
      <c r="E25" s="4">
        <f t="shared" si="3"/>
        <v>1.6893280632411067</v>
      </c>
      <c r="F25" s="4">
        <f t="shared" si="3"/>
        <v>1.2942738589211618</v>
      </c>
      <c r="G25" s="4">
        <f t="shared" si="3"/>
        <v>0.93209549071618036</v>
      </c>
      <c r="H25" s="4">
        <f t="shared" si="3"/>
        <v>0.90489361702127602</v>
      </c>
      <c r="I25" s="4">
        <f t="shared" si="3"/>
        <v>1.09375</v>
      </c>
      <c r="J25" s="4" t="e">
        <f t="shared" si="3"/>
        <v>#DIV/0!</v>
      </c>
      <c r="K25" s="4" t="e">
        <f t="shared" si="3"/>
        <v>#DIV/0!</v>
      </c>
      <c r="L25" s="4">
        <f t="shared" si="3"/>
        <v>0.51729729729729745</v>
      </c>
      <c r="M25" s="4">
        <f t="shared" si="3"/>
        <v>0.95470085470085475</v>
      </c>
      <c r="N25" s="4">
        <f t="shared" si="3"/>
        <v>0.99274122807017551</v>
      </c>
      <c r="O25" s="4">
        <f t="shared" si="3"/>
        <v>1.2967420814479638</v>
      </c>
      <c r="P25" s="4">
        <f t="shared" si="3"/>
        <v>1.2836098493903898</v>
      </c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 t="shared" ref="D26:P26" si="4">D14/D7</f>
        <v>30.725806451612904</v>
      </c>
      <c r="E26" s="4">
        <f t="shared" si="4"/>
        <v>45.792857142857144</v>
      </c>
      <c r="F26" s="4">
        <f t="shared" si="4"/>
        <v>30.185806451612901</v>
      </c>
      <c r="G26" s="4">
        <f t="shared" si="4"/>
        <v>11.713333333333333</v>
      </c>
      <c r="H26" s="4">
        <f t="shared" si="4"/>
        <v>1.3719354838709668</v>
      </c>
      <c r="I26" s="4">
        <f t="shared" si="4"/>
        <v>1.1666666666666667</v>
      </c>
      <c r="J26" s="4">
        <f t="shared" si="4"/>
        <v>1.7741935483870968</v>
      </c>
      <c r="K26" s="4">
        <f t="shared" si="4"/>
        <v>0.32258064516129031</v>
      </c>
      <c r="L26" s="4">
        <f t="shared" si="4"/>
        <v>1.9140000000000006</v>
      </c>
      <c r="M26" s="4">
        <f t="shared" si="4"/>
        <v>10.80967741935484</v>
      </c>
      <c r="N26" s="4">
        <f t="shared" si="4"/>
        <v>15.089666666666668</v>
      </c>
      <c r="O26" s="4">
        <f t="shared" si="4"/>
        <v>27.733548387096775</v>
      </c>
      <c r="P26" s="4">
        <f t="shared" si="4"/>
        <v>14.710520547945206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 t="shared" ref="D27:P27" si="5">D15/D7</f>
        <v>35.121817916828604</v>
      </c>
      <c r="E27" s="4">
        <f t="shared" si="5"/>
        <v>42.172868435911916</v>
      </c>
      <c r="F27" s="4">
        <f t="shared" si="5"/>
        <v>25.927227948065852</v>
      </c>
      <c r="G27" s="4">
        <f t="shared" si="5"/>
        <v>12.521149425287355</v>
      </c>
      <c r="H27" s="4">
        <f t="shared" si="5"/>
        <v>4.816369251887437</v>
      </c>
      <c r="I27" s="4">
        <f t="shared" si="5"/>
        <v>1.1666666666666667</v>
      </c>
      <c r="J27" s="4">
        <f t="shared" si="5"/>
        <v>1.7741935483870968</v>
      </c>
      <c r="K27" s="4">
        <f t="shared" si="5"/>
        <v>0.32258064516129031</v>
      </c>
      <c r="L27" s="4">
        <f t="shared" si="5"/>
        <v>3.1727567567567574</v>
      </c>
      <c r="M27" s="4">
        <f t="shared" si="5"/>
        <v>11.887565481113869</v>
      </c>
      <c r="N27" s="4">
        <f t="shared" si="5"/>
        <v>18.067890350877196</v>
      </c>
      <c r="O27" s="4">
        <f t="shared" si="5"/>
        <v>28.946629689096486</v>
      </c>
      <c r="P27" s="4">
        <f t="shared" si="5"/>
        <v>15.346252413945022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 t="shared" ref="D28:P28" si="6">D14/$F$4</f>
        <v>3.4361471861471862</v>
      </c>
      <c r="E28" s="4">
        <f t="shared" si="6"/>
        <v>4.6255411255411261</v>
      </c>
      <c r="F28" s="4">
        <f t="shared" si="6"/>
        <v>3.375757575757576</v>
      </c>
      <c r="G28" s="4">
        <f t="shared" si="6"/>
        <v>1.2676767676767677</v>
      </c>
      <c r="H28" s="4">
        <f t="shared" si="6"/>
        <v>0.15342712842712833</v>
      </c>
      <c r="I28" s="4">
        <f t="shared" si="6"/>
        <v>0.12626262626262627</v>
      </c>
      <c r="J28" s="4">
        <f t="shared" si="6"/>
        <v>0.19841269841269843</v>
      </c>
      <c r="K28" s="4">
        <f t="shared" si="6"/>
        <v>3.6075036075036079E-2</v>
      </c>
      <c r="L28" s="4">
        <f t="shared" si="6"/>
        <v>0.20714285714285721</v>
      </c>
      <c r="M28" s="4">
        <f t="shared" si="6"/>
        <v>1.2088744588744591</v>
      </c>
      <c r="N28" s="4">
        <f t="shared" si="6"/>
        <v>1.6330808080808084</v>
      </c>
      <c r="O28" s="4">
        <f t="shared" si="6"/>
        <v>3.1015151515151516</v>
      </c>
      <c r="P28" s="4">
        <f t="shared" si="6"/>
        <v>19.36991341991342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 t="shared" ref="D29:P29" si="7">D14/$F$3</f>
        <v>8.6590909090909083</v>
      </c>
      <c r="E29" s="4">
        <f t="shared" si="7"/>
        <v>11.656363636363636</v>
      </c>
      <c r="F29" s="4">
        <f t="shared" si="7"/>
        <v>8.5069090909090903</v>
      </c>
      <c r="G29" s="4">
        <f t="shared" si="7"/>
        <v>3.1945454545454544</v>
      </c>
      <c r="H29" s="4">
        <f t="shared" si="7"/>
        <v>0.38663636363636339</v>
      </c>
      <c r="I29" s="4">
        <f t="shared" si="7"/>
        <v>0.31818181818181818</v>
      </c>
      <c r="J29" s="4">
        <f t="shared" si="7"/>
        <v>0.5</v>
      </c>
      <c r="K29" s="4">
        <f t="shared" si="7"/>
        <v>9.0909090909090912E-2</v>
      </c>
      <c r="L29" s="4">
        <f t="shared" si="7"/>
        <v>0.52200000000000013</v>
      </c>
      <c r="M29" s="4">
        <f t="shared" si="7"/>
        <v>3.0463636363636364</v>
      </c>
      <c r="N29" s="4">
        <f t="shared" si="7"/>
        <v>4.1153636363636368</v>
      </c>
      <c r="O29" s="4">
        <f t="shared" si="7"/>
        <v>7.815818181818182</v>
      </c>
      <c r="P29" s="4">
        <f t="shared" si="7"/>
        <v>48.81218181818182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8">D15/$F$4</f>
        <v>3.9277646299483648</v>
      </c>
      <c r="E30" s="4">
        <f t="shared" si="8"/>
        <v>4.2598857005971631</v>
      </c>
      <c r="F30" s="4">
        <f t="shared" si="8"/>
        <v>2.8995096190116936</v>
      </c>
      <c r="G30" s="4">
        <f t="shared" si="8"/>
        <v>1.3551027516544758</v>
      </c>
      <c r="H30" s="4">
        <f t="shared" si="8"/>
        <v>0.53862715298885477</v>
      </c>
      <c r="I30" s="4">
        <f t="shared" si="8"/>
        <v>0.12626262626262627</v>
      </c>
      <c r="J30" s="4">
        <f t="shared" si="8"/>
        <v>0.19841269841269843</v>
      </c>
      <c r="K30" s="4">
        <f t="shared" si="8"/>
        <v>3.6075036075036079E-2</v>
      </c>
      <c r="L30" s="4">
        <f t="shared" si="8"/>
        <v>0.34337194337194349</v>
      </c>
      <c r="M30" s="4">
        <f t="shared" si="8"/>
        <v>1.3294174960841629</v>
      </c>
      <c r="N30" s="4">
        <f t="shared" si="8"/>
        <v>1.9553993886230734</v>
      </c>
      <c r="O30" s="4">
        <f t="shared" si="8"/>
        <v>3.2371772018830844</v>
      </c>
      <c r="P30" s="4">
        <f t="shared" si="8"/>
        <v>20.207006244913178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9">D15/$F$3</f>
        <v>9.8979668674698793</v>
      </c>
      <c r="E31" s="4">
        <f t="shared" si="9"/>
        <v>10.73491196550485</v>
      </c>
      <c r="F31" s="4">
        <f t="shared" si="9"/>
        <v>7.3067642399094677</v>
      </c>
      <c r="G31" s="4">
        <f t="shared" si="9"/>
        <v>3.4148589341692785</v>
      </c>
      <c r="H31" s="4">
        <f t="shared" si="9"/>
        <v>1.3573404255319141</v>
      </c>
      <c r="I31" s="4">
        <f t="shared" si="9"/>
        <v>0.31818181818181818</v>
      </c>
      <c r="J31" s="4">
        <f t="shared" si="9"/>
        <v>0.5</v>
      </c>
      <c r="K31" s="4">
        <f t="shared" si="9"/>
        <v>9.0909090909090912E-2</v>
      </c>
      <c r="L31" s="4">
        <f t="shared" si="9"/>
        <v>0.86529729729729754</v>
      </c>
      <c r="M31" s="4">
        <f t="shared" si="9"/>
        <v>3.3501320901320901</v>
      </c>
      <c r="N31" s="4">
        <f t="shared" si="9"/>
        <v>4.9276064593301445</v>
      </c>
      <c r="O31" s="4">
        <f t="shared" si="9"/>
        <v>8.1576865487453727</v>
      </c>
      <c r="P31" s="4">
        <f t="shared" si="9"/>
        <v>50.921655737181212</v>
      </c>
    </row>
    <row r="32" spans="1:28" ht="12" customHeight="1" x14ac:dyDescent="0.3">
      <c r="B32" s="47" t="s">
        <v>44</v>
      </c>
      <c r="C32" s="47" t="s">
        <v>48</v>
      </c>
      <c r="D32" s="4">
        <f t="shared" ref="D32:P32" si="10">1000*D28/D11</f>
        <v>5.1749204610650388</v>
      </c>
      <c r="E32" s="4">
        <f t="shared" si="10"/>
        <v>6.094257082399376</v>
      </c>
      <c r="F32" s="4">
        <f t="shared" si="10"/>
        <v>4.6690976151557066</v>
      </c>
      <c r="G32" s="4">
        <f t="shared" si="10"/>
        <v>3.3625378452964658</v>
      </c>
      <c r="H32" s="4">
        <f t="shared" si="10"/>
        <v>3.2644069878112414</v>
      </c>
      <c r="I32" s="4">
        <f t="shared" si="10"/>
        <v>3.9457070707070709</v>
      </c>
      <c r="J32" s="4" t="e">
        <f t="shared" si="10"/>
        <v>#DIV/0!</v>
      </c>
      <c r="K32" s="4" t="e">
        <f t="shared" si="10"/>
        <v>#DIV/0!</v>
      </c>
      <c r="L32" s="4">
        <f t="shared" si="10"/>
        <v>1.8661518661518668</v>
      </c>
      <c r="M32" s="4">
        <f t="shared" si="10"/>
        <v>3.4440867774201114</v>
      </c>
      <c r="N32" s="4">
        <f t="shared" si="10"/>
        <v>3.58131756158072</v>
      </c>
      <c r="O32" s="4">
        <f t="shared" si="10"/>
        <v>4.6780017368252667</v>
      </c>
      <c r="P32" s="4">
        <f t="shared" si="10"/>
        <v>4.6306271623029929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4400*1.3</f>
        <v>5720</v>
      </c>
      <c r="E36" s="11" t="s">
        <v>26</v>
      </c>
      <c r="F36" s="51">
        <f>D36/$D$38</f>
        <v>0.58757062146892658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4015</v>
      </c>
      <c r="E37" s="55" t="s">
        <v>26</v>
      </c>
      <c r="F37" s="51">
        <f>D37/$D$38</f>
        <v>0.41242937853107342</v>
      </c>
      <c r="G37" s="11" t="s">
        <v>54</v>
      </c>
      <c r="H37" s="4"/>
      <c r="I37" s="4"/>
      <c r="J37" s="4"/>
      <c r="K37" s="4">
        <f>K36-D36</f>
        <v>2846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9735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0.33224375437777259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0.22621413242190605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82" si="11">DAYS360(B50,B51)</f>
        <v>11</v>
      </c>
      <c r="F51" s="4">
        <f t="shared" ref="F51:F82" si="12">(D51-D50)/E51</f>
        <v>8.1400000000000023</v>
      </c>
      <c r="G51" s="13">
        <v>195</v>
      </c>
      <c r="H51" s="57">
        <f t="shared" ref="H51:H56" si="13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1"/>
        <v>46</v>
      </c>
      <c r="F52" s="4">
        <f t="shared" si="12"/>
        <v>10.755217391304347</v>
      </c>
      <c r="G52" s="13">
        <v>1116</v>
      </c>
      <c r="H52" s="57">
        <f t="shared" si="13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1"/>
        <v>30</v>
      </c>
      <c r="F53" s="4">
        <f t="shared" si="12"/>
        <v>9.9096666666666646</v>
      </c>
      <c r="G53" s="13">
        <v>459</v>
      </c>
      <c r="H53" s="57">
        <f t="shared" si="13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1"/>
        <v>13</v>
      </c>
      <c r="F54" s="4">
        <f t="shared" si="12"/>
        <v>12.971538461538453</v>
      </c>
      <c r="G54" s="4">
        <v>173</v>
      </c>
      <c r="H54" s="57">
        <f t="shared" si="13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1"/>
        <v>56</v>
      </c>
      <c r="F55" s="4">
        <f t="shared" si="12"/>
        <v>10.850714285714288</v>
      </c>
      <c r="G55" s="4">
        <v>537</v>
      </c>
      <c r="H55" s="57">
        <f t="shared" si="13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1"/>
        <v>23</v>
      </c>
      <c r="F56" s="4">
        <f t="shared" si="12"/>
        <v>3.4986956521739043</v>
      </c>
      <c r="G56" s="4">
        <v>78.2</v>
      </c>
      <c r="H56" s="57">
        <f t="shared" si="13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1"/>
        <v>11</v>
      </c>
      <c r="F57" s="4">
        <f t="shared" si="12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1"/>
        <v>26</v>
      </c>
      <c r="F58" s="4">
        <f t="shared" si="12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1"/>
        <v>30</v>
      </c>
      <c r="F59" s="4">
        <f t="shared" si="12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1"/>
        <v>7</v>
      </c>
      <c r="F60" s="4">
        <f t="shared" si="12"/>
        <v>2.2728571428571223</v>
      </c>
      <c r="G60" s="4">
        <f>3.8*7</f>
        <v>26.599999999999998</v>
      </c>
      <c r="H60" s="57">
        <f t="shared" ref="H60:H76" si="14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1"/>
        <v>40</v>
      </c>
      <c r="F61" s="4">
        <f t="shared" si="12"/>
        <v>4.4192499999999999</v>
      </c>
      <c r="G61" s="4">
        <f>7*40</f>
        <v>280</v>
      </c>
      <c r="H61" s="57">
        <f t="shared" si="14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1"/>
        <v>21</v>
      </c>
      <c r="F62" s="4">
        <f t="shared" si="12"/>
        <v>8.9847619047618963</v>
      </c>
      <c r="G62" s="4">
        <f>21*12.5</f>
        <v>262.5</v>
      </c>
      <c r="H62" s="57">
        <f t="shared" si="14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1"/>
        <v>83</v>
      </c>
      <c r="F63" s="4">
        <f t="shared" si="12"/>
        <v>8.7620481927710845</v>
      </c>
      <c r="G63" s="4">
        <v>1643</v>
      </c>
      <c r="H63" s="57">
        <f t="shared" si="14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1"/>
        <v>65</v>
      </c>
      <c r="F64" s="4">
        <f t="shared" si="12"/>
        <v>8.8218461538461543</v>
      </c>
      <c r="G64" s="4">
        <f>524+505+80</f>
        <v>1109</v>
      </c>
      <c r="H64" s="57">
        <f t="shared" si="14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1"/>
        <v>28</v>
      </c>
      <c r="F65" s="4">
        <f t="shared" si="12"/>
        <v>6.7735714285714392</v>
      </c>
      <c r="G65" s="4">
        <v>372</v>
      </c>
      <c r="H65" s="57">
        <f t="shared" si="14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1"/>
        <v>21</v>
      </c>
      <c r="F66" s="4">
        <f t="shared" si="12"/>
        <v>4.8628571428571377</v>
      </c>
      <c r="G66" s="4">
        <v>125</v>
      </c>
      <c r="H66" s="57">
        <f t="shared" si="14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1"/>
        <v>31</v>
      </c>
      <c r="F67" s="4">
        <f t="shared" si="12"/>
        <v>2.5290322580645044</v>
      </c>
      <c r="G67" s="4">
        <v>8</v>
      </c>
      <c r="H67" s="57">
        <f t="shared" si="14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1"/>
        <v>52</v>
      </c>
      <c r="F68" s="4">
        <f t="shared" si="12"/>
        <v>1.4932692307692412</v>
      </c>
      <c r="G68" s="4">
        <v>5</v>
      </c>
      <c r="H68" s="57">
        <f t="shared" si="14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1"/>
        <v>61</v>
      </c>
      <c r="F69" s="4">
        <f t="shared" si="12"/>
        <v>3.4193442622950809</v>
      </c>
      <c r="G69" s="4">
        <f>70+18*(17-4)</f>
        <v>304</v>
      </c>
      <c r="H69" s="57">
        <f t="shared" si="14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1"/>
        <v>50</v>
      </c>
      <c r="F70" s="4">
        <f t="shared" si="12"/>
        <v>8.3852000000000046</v>
      </c>
      <c r="G70" s="4">
        <f>13.5*50</f>
        <v>675</v>
      </c>
      <c r="H70" s="57">
        <f t="shared" si="14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1"/>
        <v>15</v>
      </c>
      <c r="F71" s="4">
        <f t="shared" si="12"/>
        <v>8.0666666666666664</v>
      </c>
      <c r="G71" s="4">
        <f>14*15</f>
        <v>210</v>
      </c>
      <c r="H71" s="57">
        <f t="shared" si="14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1"/>
        <v>80</v>
      </c>
      <c r="F72" s="4">
        <f t="shared" si="12"/>
        <v>3.9747499999999945</v>
      </c>
      <c r="G72" s="4">
        <f>552+969</f>
        <v>1521</v>
      </c>
      <c r="H72" s="57">
        <f t="shared" si="14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1"/>
        <v>46</v>
      </c>
      <c r="F73" s="4">
        <f t="shared" si="12"/>
        <v>6.8530434782608651</v>
      </c>
      <c r="G73" s="4">
        <f>561+376</f>
        <v>937</v>
      </c>
      <c r="H73" s="57">
        <f t="shared" si="14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1"/>
        <v>30</v>
      </c>
      <c r="F74" s="4">
        <f t="shared" si="12"/>
        <v>2.7056666666666689</v>
      </c>
      <c r="G74" s="4">
        <v>23</v>
      </c>
      <c r="H74" s="57">
        <f t="shared" si="14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1"/>
        <v>32</v>
      </c>
      <c r="F75" s="4">
        <f t="shared" si="12"/>
        <v>1.9846875000000068</v>
      </c>
      <c r="G75" s="4">
        <v>37</v>
      </c>
      <c r="H75" s="57">
        <f t="shared" si="14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1"/>
        <v>27</v>
      </c>
      <c r="F76" s="4">
        <f t="shared" si="12"/>
        <v>1.7807407407407381</v>
      </c>
      <c r="G76" s="4">
        <v>0</v>
      </c>
      <c r="H76" s="57" t="e">
        <f t="shared" si="14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1"/>
        <v>14</v>
      </c>
      <c r="F77" s="4">
        <f t="shared" si="12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1"/>
        <v>22</v>
      </c>
      <c r="F78" s="4">
        <f t="shared" si="12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1"/>
        <v>48</v>
      </c>
      <c r="F79" s="4">
        <f t="shared" si="12"/>
        <v>4.2625000000000073</v>
      </c>
      <c r="G79" s="4">
        <f>125+234</f>
        <v>359</v>
      </c>
      <c r="H79" s="57">
        <f t="shared" ref="H79:H85" si="15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1"/>
        <v>69</v>
      </c>
      <c r="F80" s="4">
        <f t="shared" si="12"/>
        <v>7.9052173913043484</v>
      </c>
      <c r="G80" s="4">
        <v>1172</v>
      </c>
      <c r="H80" s="57">
        <f t="shared" si="15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1"/>
        <v>14</v>
      </c>
      <c r="F81" s="4">
        <f t="shared" si="12"/>
        <v>1.9807142857142546</v>
      </c>
      <c r="G81" s="4">
        <v>363</v>
      </c>
      <c r="H81" s="57">
        <f t="shared" si="15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1"/>
        <v>15</v>
      </c>
      <c r="F82" s="4">
        <f t="shared" si="12"/>
        <v>5.7480000000000171</v>
      </c>
      <c r="G82" s="4">
        <v>310</v>
      </c>
      <c r="H82" s="57">
        <f t="shared" si="15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ref="E83:E105" si="16">DAYS360(B82,B83)</f>
        <v>27</v>
      </c>
      <c r="F83" s="4">
        <f t="shared" ref="F83:F105" si="17">(D83-D82)/E83</f>
        <v>6.6633333333333278</v>
      </c>
      <c r="G83" s="4">
        <v>600</v>
      </c>
      <c r="H83" s="57">
        <f t="shared" si="15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16"/>
        <v>50</v>
      </c>
      <c r="F84" s="4">
        <f t="shared" si="17"/>
        <v>8.6689999999999969</v>
      </c>
      <c r="G84" s="4">
        <v>840</v>
      </c>
      <c r="H84" s="57">
        <f t="shared" si="15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16"/>
        <v>21</v>
      </c>
      <c r="F85" s="4">
        <f t="shared" si="17"/>
        <v>6.3404761904762168</v>
      </c>
      <c r="G85" s="4">
        <v>230</v>
      </c>
      <c r="H85" s="57">
        <f t="shared" si="15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16"/>
        <v>34</v>
      </c>
      <c r="F86" s="4">
        <f t="shared" si="17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16"/>
        <v>11</v>
      </c>
      <c r="F87" s="4">
        <f t="shared" si="17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16"/>
        <v>9</v>
      </c>
      <c r="F88" s="4">
        <f t="shared" si="17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16"/>
        <v>34</v>
      </c>
      <c r="F89" s="4">
        <f t="shared" si="17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16"/>
        <v>40</v>
      </c>
      <c r="F90" s="4">
        <f t="shared" si="17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16"/>
        <v>22</v>
      </c>
      <c r="F91" s="4">
        <f t="shared" si="17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16"/>
        <v>27</v>
      </c>
      <c r="F92" s="4">
        <f t="shared" si="17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16"/>
        <v>57</v>
      </c>
      <c r="F93" s="4">
        <f t="shared" si="17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>
        <v>43155</v>
      </c>
      <c r="D94" s="4">
        <v>9122.02</v>
      </c>
      <c r="E94" s="13">
        <f t="shared" si="16"/>
        <v>54</v>
      </c>
      <c r="F94" s="4">
        <f t="shared" si="17"/>
        <v>4.896111111111134</v>
      </c>
      <c r="G94" s="4">
        <v>1320</v>
      </c>
      <c r="H94" s="57">
        <f>(D94-D93)/G94</f>
        <v>0.20029545454545547</v>
      </c>
      <c r="I94" s="4"/>
      <c r="J94" s="4"/>
      <c r="K94" s="4"/>
      <c r="L94" s="4"/>
      <c r="M94" s="4"/>
      <c r="N94" s="4">
        <f>D94-D93</f>
        <v>264.39000000000124</v>
      </c>
      <c r="O94" s="4"/>
      <c r="P94" s="4"/>
    </row>
    <row r="95" spans="2:16" ht="12" customHeight="1" x14ac:dyDescent="0.25">
      <c r="B95" s="56">
        <v>43184</v>
      </c>
      <c r="D95" s="4">
        <v>9294.3700000000008</v>
      </c>
      <c r="E95" s="13">
        <f t="shared" si="16"/>
        <v>31</v>
      </c>
      <c r="F95" s="4">
        <f t="shared" si="17"/>
        <v>5.5596774193548502</v>
      </c>
      <c r="G95" s="4">
        <v>723</v>
      </c>
      <c r="H95" s="57">
        <f>(D95-D94)/G95</f>
        <v>0.23838174273858972</v>
      </c>
      <c r="I95" s="4"/>
      <c r="J95" s="4"/>
      <c r="K95" s="4"/>
      <c r="L95" s="4"/>
      <c r="M95" s="4"/>
      <c r="N95" s="4">
        <f>D95-D94</f>
        <v>172.35000000000036</v>
      </c>
      <c r="O95" s="4"/>
      <c r="P95" s="4">
        <f>D94-D83</f>
        <v>2005.7700000000004</v>
      </c>
    </row>
    <row r="96" spans="2:16" ht="12" customHeight="1" x14ac:dyDescent="0.25">
      <c r="B96" s="56">
        <v>43217</v>
      </c>
      <c r="D96" s="4">
        <v>9530.9</v>
      </c>
      <c r="E96" s="13">
        <f t="shared" si="16"/>
        <v>32</v>
      </c>
      <c r="F96" s="4">
        <f t="shared" si="17"/>
        <v>7.3915624999999636</v>
      </c>
      <c r="G96" s="4"/>
      <c r="H96" s="4"/>
      <c r="I96" s="4"/>
      <c r="J96" s="4"/>
      <c r="K96" s="4"/>
      <c r="L96" s="4"/>
      <c r="M96" s="4"/>
      <c r="N96" s="4">
        <f>D96-D95</f>
        <v>236.52999999999884</v>
      </c>
      <c r="O96" s="4"/>
      <c r="P96" s="4"/>
    </row>
    <row r="97" spans="2:17" ht="12" customHeight="1" x14ac:dyDescent="0.25">
      <c r="B97" s="56">
        <v>43241</v>
      </c>
      <c r="D97" s="4">
        <v>9598.7999999999993</v>
      </c>
      <c r="E97" s="13">
        <f t="shared" si="16"/>
        <v>24</v>
      </c>
      <c r="F97" s="4">
        <f t="shared" si="17"/>
        <v>2.8291666666666515</v>
      </c>
      <c r="G97" s="4"/>
      <c r="H97" s="4"/>
      <c r="I97" s="4"/>
      <c r="J97" s="4"/>
      <c r="K97" s="4"/>
      <c r="L97" s="4"/>
      <c r="M97" s="4"/>
      <c r="N97" s="4">
        <f>D97-D96</f>
        <v>67.899999999999636</v>
      </c>
      <c r="O97" s="4"/>
      <c r="P97" s="4"/>
    </row>
    <row r="98" spans="2:17" ht="12" customHeight="1" x14ac:dyDescent="0.25">
      <c r="B98" s="56">
        <v>43269</v>
      </c>
      <c r="D98" s="4">
        <v>9628.2800000000007</v>
      </c>
      <c r="E98" s="13">
        <f t="shared" si="16"/>
        <v>27</v>
      </c>
      <c r="F98" s="4">
        <f t="shared" si="17"/>
        <v>1.0918518518519031</v>
      </c>
      <c r="G98" s="4"/>
      <c r="H98" s="4"/>
      <c r="I98" s="4"/>
      <c r="J98" s="4"/>
      <c r="K98" s="4"/>
      <c r="L98" s="4"/>
      <c r="M98" s="4"/>
      <c r="N98" s="4">
        <f>D98-D97</f>
        <v>29.480000000001382</v>
      </c>
      <c r="O98" s="4"/>
      <c r="P98" s="4">
        <f>D98-D87</f>
        <v>1804.2700000000004</v>
      </c>
    </row>
    <row r="99" spans="2:17" ht="12" customHeight="1" x14ac:dyDescent="0.25">
      <c r="B99" s="56">
        <v>43285</v>
      </c>
      <c r="D99" s="4">
        <v>9644.2900000000009</v>
      </c>
      <c r="E99" s="13">
        <f t="shared" si="16"/>
        <v>16</v>
      </c>
      <c r="F99" s="4">
        <f t="shared" si="17"/>
        <v>1.0006250000000136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7" ht="12" customHeight="1" x14ac:dyDescent="0.25">
      <c r="B100" s="56">
        <v>43298</v>
      </c>
      <c r="D100" s="4">
        <v>9661.08</v>
      </c>
      <c r="E100" s="13">
        <f t="shared" si="16"/>
        <v>13</v>
      </c>
      <c r="F100" s="4">
        <f t="shared" si="17"/>
        <v>1.2915384615383887</v>
      </c>
      <c r="G100" s="4"/>
      <c r="H100" s="4"/>
      <c r="I100" s="4"/>
      <c r="J100" s="4"/>
      <c r="K100" s="4"/>
      <c r="L100" s="4"/>
      <c r="M100" s="4"/>
      <c r="N100" s="4">
        <f>D100-D99</f>
        <v>16.789999999999054</v>
      </c>
      <c r="O100" s="4"/>
      <c r="P100" s="4"/>
    </row>
    <row r="101" spans="2:17" ht="12" customHeight="1" x14ac:dyDescent="0.25">
      <c r="B101" s="56">
        <v>43317</v>
      </c>
      <c r="D101" s="4">
        <v>9702.4</v>
      </c>
      <c r="E101" s="13">
        <f t="shared" si="16"/>
        <v>18</v>
      </c>
      <c r="F101" s="4">
        <f t="shared" si="17"/>
        <v>2.2955555555555396</v>
      </c>
      <c r="G101" s="4"/>
      <c r="H101" s="4"/>
      <c r="I101" s="4"/>
      <c r="J101" s="4"/>
      <c r="K101" s="4"/>
      <c r="L101" s="4"/>
      <c r="M101" s="4"/>
      <c r="N101" s="4">
        <f>D101-D99</f>
        <v>58.109999999998763</v>
      </c>
      <c r="O101" s="4">
        <f>N101-N100</f>
        <v>41.319999999999709</v>
      </c>
      <c r="P101" s="4">
        <f>D101-D89</f>
        <v>1831.29</v>
      </c>
    </row>
    <row r="102" spans="2:17" ht="12" customHeight="1" x14ac:dyDescent="0.25">
      <c r="B102" s="56">
        <v>43364</v>
      </c>
      <c r="D102" s="4">
        <v>9762.31</v>
      </c>
      <c r="E102" s="13">
        <f t="shared" si="16"/>
        <v>46</v>
      </c>
      <c r="F102" s="4">
        <f t="shared" si="17"/>
        <v>1.302391304347823</v>
      </c>
      <c r="G102" s="4"/>
      <c r="H102" s="4"/>
      <c r="I102" s="4"/>
      <c r="J102" s="4"/>
      <c r="K102" s="4"/>
      <c r="L102" s="4"/>
      <c r="M102" s="4"/>
      <c r="N102" s="4">
        <f>D102-D101</f>
        <v>59.909999999999854</v>
      </c>
      <c r="O102" s="4"/>
      <c r="P102" s="4">
        <f>D102-D90</f>
        <v>1812.3099999999995</v>
      </c>
    </row>
    <row r="103" spans="2:17" ht="12" customHeight="1" x14ac:dyDescent="0.25">
      <c r="B103" s="56">
        <v>43401</v>
      </c>
      <c r="D103" s="4">
        <v>9930.7800000000007</v>
      </c>
      <c r="E103" s="13">
        <f t="shared" si="16"/>
        <v>37</v>
      </c>
      <c r="F103" s="4">
        <f t="shared" si="17"/>
        <v>4.5532432432432746</v>
      </c>
      <c r="G103" s="4"/>
      <c r="H103" s="4"/>
      <c r="I103" s="4"/>
      <c r="J103" s="4"/>
      <c r="K103" s="4"/>
      <c r="L103" s="4"/>
      <c r="M103" s="4"/>
      <c r="N103" s="4">
        <f>D103-D101</f>
        <v>228.38000000000102</v>
      </c>
      <c r="O103" s="4"/>
      <c r="P103" s="4"/>
      <c r="Q103" s="14"/>
    </row>
    <row r="104" spans="2:17" ht="12" customHeight="1" x14ac:dyDescent="0.25">
      <c r="B104" s="56">
        <v>43442</v>
      </c>
      <c r="D104" s="4">
        <v>10300.530000000001</v>
      </c>
      <c r="E104" s="13">
        <f t="shared" si="16"/>
        <v>40</v>
      </c>
      <c r="F104" s="4">
        <f t="shared" si="17"/>
        <v>9.2437500000000004</v>
      </c>
      <c r="G104" s="4">
        <f>SUM(M11:N11)</f>
        <v>807</v>
      </c>
      <c r="H104" s="57">
        <f>(D104-D103)/G104</f>
        <v>0.45817843866171004</v>
      </c>
      <c r="I104" s="4"/>
      <c r="J104" s="4"/>
      <c r="K104" s="4"/>
      <c r="L104" s="4"/>
      <c r="M104" s="4"/>
      <c r="N104" s="4">
        <f>D104-D103</f>
        <v>369.75</v>
      </c>
      <c r="O104" s="4"/>
      <c r="P104" s="4"/>
    </row>
    <row r="105" spans="2:17" ht="12" customHeight="1" x14ac:dyDescent="0.25">
      <c r="B105" s="56">
        <v>43464</v>
      </c>
      <c r="D105" s="4">
        <v>10531.5</v>
      </c>
      <c r="E105" s="13">
        <f t="shared" si="16"/>
        <v>22</v>
      </c>
      <c r="F105" s="4">
        <f t="shared" si="17"/>
        <v>10.498636363636335</v>
      </c>
      <c r="G105" s="4"/>
      <c r="H105" s="4"/>
      <c r="I105" s="4"/>
      <c r="J105" s="4"/>
      <c r="K105" s="4"/>
      <c r="L105" s="4"/>
      <c r="M105" s="4"/>
      <c r="N105" s="4">
        <f>D105-D104</f>
        <v>230.96999999999935</v>
      </c>
      <c r="O105" s="4"/>
      <c r="P105" s="4">
        <f>D105-D93</f>
        <v>1673.8700000000008</v>
      </c>
    </row>
    <row r="106" spans="2:17" ht="12" customHeight="1" x14ac:dyDescent="0.25">
      <c r="B106" s="5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2:17" ht="12" customHeight="1" x14ac:dyDescent="0.25">
      <c r="B107" s="5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2:17" ht="12" customHeight="1" x14ac:dyDescent="0.25">
      <c r="B108" s="5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2:17" ht="12" customHeight="1" x14ac:dyDescent="0.25">
      <c r="B109" s="5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2:17" ht="12" customHeight="1" x14ac:dyDescent="0.25">
      <c r="B110" s="5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2:17" ht="12" customHeight="1" x14ac:dyDescent="0.25">
      <c r="B111" s="5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2:17" ht="12" customHeight="1" x14ac:dyDescent="0.25">
      <c r="B112" s="5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2:16" ht="12" customHeight="1" x14ac:dyDescent="0.25">
      <c r="B113" s="5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2:16" ht="12" customHeight="1" x14ac:dyDescent="0.25">
      <c r="B114" s="5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2:16" ht="12" customHeight="1" x14ac:dyDescent="0.25">
      <c r="B115" s="5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2:16" ht="12" customHeight="1" x14ac:dyDescent="0.25">
      <c r="B116" s="5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2:16" ht="12" customHeight="1" x14ac:dyDescent="0.25">
      <c r="B117" s="5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2:16" ht="12" customHeight="1" x14ac:dyDescent="0.25">
      <c r="B118" s="5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2:16" ht="12" customHeight="1" x14ac:dyDescent="0.25">
      <c r="B119" s="5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2:16" ht="12" customHeight="1" x14ac:dyDescent="0.25">
      <c r="B120" s="5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2:16" ht="12" customHeight="1" x14ac:dyDescent="0.25">
      <c r="B121" s="5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2:16" ht="12" customHeight="1" x14ac:dyDescent="0.25">
      <c r="B122" s="5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2:16" ht="12" customHeight="1" x14ac:dyDescent="0.25">
      <c r="B123" s="5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2:16" ht="12" customHeight="1" x14ac:dyDescent="0.25">
      <c r="B124" s="5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2:16" ht="12" customHeight="1" x14ac:dyDescent="0.25">
      <c r="B125" s="5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2:16" ht="12" customHeight="1" x14ac:dyDescent="0.25">
      <c r="B126" s="5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2:16" ht="12" customHeight="1" x14ac:dyDescent="0.25">
      <c r="B127" s="5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2:16" ht="12" customHeight="1" x14ac:dyDescent="0.25">
      <c r="B128" s="5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2:16" ht="12" customHeight="1" x14ac:dyDescent="0.25">
      <c r="B129" s="5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2:16" ht="12" customHeight="1" x14ac:dyDescent="0.25">
      <c r="B130" s="5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2:16" ht="12" customHeight="1" x14ac:dyDescent="0.25">
      <c r="B131" s="5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2:16" ht="12" customHeight="1" x14ac:dyDescent="0.25">
      <c r="B132" s="5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 ht="12" customHeight="1" x14ac:dyDescent="0.25">
      <c r="B133" s="5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 ht="12" customHeight="1" x14ac:dyDescent="0.25">
      <c r="B134" s="5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 ht="12" customHeight="1" x14ac:dyDescent="0.25">
      <c r="B135" s="5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 ht="12" customHeight="1" x14ac:dyDescent="0.25">
      <c r="B136" s="5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 ht="12" customHeight="1" x14ac:dyDescent="0.25">
      <c r="B137" s="5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 ht="12" customHeight="1" x14ac:dyDescent="0.25">
      <c r="B138" s="5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 ht="12" customHeight="1" x14ac:dyDescent="0.25">
      <c r="B139" s="5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 ht="12" customHeight="1" x14ac:dyDescent="0.25">
      <c r="B140" s="5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 ht="12" customHeight="1" x14ac:dyDescent="0.25">
      <c r="B141" s="5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 ht="12" customHeight="1" x14ac:dyDescent="0.25">
      <c r="B142" s="5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 ht="12" customHeight="1" x14ac:dyDescent="0.25">
      <c r="B143" s="5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 ht="12" customHeight="1" x14ac:dyDescent="0.25">
      <c r="B144" s="5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 ht="12" customHeight="1" x14ac:dyDescent="0.25">
      <c r="B145" s="5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00"/>
  <sheetViews>
    <sheetView zoomScaleNormal="100" workbookViewId="0">
      <selection activeCell="P8" sqref="P8:P15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5" width="8.6640625" customWidth="1"/>
    <col min="26" max="26" width="14.6640625" customWidth="1"/>
    <col min="27" max="28" width="8.6640625" customWidth="1"/>
  </cols>
  <sheetData>
    <row r="1" spans="1:28" ht="12" customHeight="1" x14ac:dyDescent="0.3">
      <c r="A1" s="2" t="s">
        <v>0</v>
      </c>
      <c r="D1" s="3">
        <v>2017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61"/>
      <c r="S1" s="62"/>
    </row>
    <row r="2" spans="1:28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2"/>
      <c r="P2" s="4"/>
      <c r="Q2" s="8"/>
      <c r="R2" s="60"/>
    </row>
    <row r="3" spans="1:28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12</v>
      </c>
      <c r="L3" s="11" t="s">
        <v>5</v>
      </c>
      <c r="M3" s="4"/>
      <c r="N3" s="4"/>
      <c r="O3" s="32"/>
      <c r="P3" s="4"/>
      <c r="Q3" s="8"/>
    </row>
    <row r="4" spans="1:28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SUM(I9:K9)/92</f>
        <v>11.87858695652174</v>
      </c>
      <c r="L4" s="11" t="s">
        <v>5</v>
      </c>
      <c r="M4" s="11"/>
      <c r="N4" s="11"/>
      <c r="O4" s="64"/>
      <c r="P4" s="11"/>
    </row>
    <row r="5" spans="1:28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8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ht="21" customHeight="1" x14ac:dyDescent="0.25">
      <c r="A8" s="25">
        <v>2017</v>
      </c>
      <c r="B8" s="26" t="s">
        <v>23</v>
      </c>
      <c r="C8" s="30" t="s">
        <v>65</v>
      </c>
      <c r="D8" s="28">
        <v>-4.7</v>
      </c>
      <c r="E8" s="28">
        <v>-5.5</v>
      </c>
      <c r="F8" s="28">
        <v>-0.4</v>
      </c>
      <c r="G8" s="28">
        <v>1.1000000000000001</v>
      </c>
      <c r="H8" s="28">
        <v>8.3000000000000007</v>
      </c>
      <c r="I8" s="28">
        <v>12.6</v>
      </c>
      <c r="J8" s="28">
        <v>15.5</v>
      </c>
      <c r="K8" s="28">
        <v>15.3</v>
      </c>
      <c r="L8" s="28">
        <v>10.3</v>
      </c>
      <c r="M8" s="28">
        <v>4.2</v>
      </c>
      <c r="N8" s="28">
        <v>0.7</v>
      </c>
      <c r="O8" s="28">
        <v>-0.8</v>
      </c>
      <c r="P8" s="28">
        <f>AVERAGE(D8:O8)</f>
        <v>4.7166666666666677</v>
      </c>
      <c r="T8" s="29"/>
      <c r="U8" s="8"/>
      <c r="Z8" s="83"/>
      <c r="AA8" s="83"/>
    </row>
    <row r="9" spans="1:28" ht="12" customHeight="1" x14ac:dyDescent="0.25">
      <c r="A9" s="25">
        <v>2017</v>
      </c>
      <c r="B9" s="26" t="s">
        <v>25</v>
      </c>
      <c r="C9" s="30" t="s">
        <v>26</v>
      </c>
      <c r="D9" s="31">
        <v>1416.83</v>
      </c>
      <c r="E9" s="31">
        <v>1261.68</v>
      </c>
      <c r="F9" s="32">
        <v>913.28</v>
      </c>
      <c r="G9" s="32">
        <v>810.4</v>
      </c>
      <c r="H9" s="32">
        <v>529.80999999999995</v>
      </c>
      <c r="I9" s="32">
        <v>409.94</v>
      </c>
      <c r="J9" s="32">
        <v>352.97</v>
      </c>
      <c r="K9" s="32">
        <v>329.92</v>
      </c>
      <c r="L9" s="32">
        <v>502.25</v>
      </c>
      <c r="M9" s="32">
        <v>763.79</v>
      </c>
      <c r="N9" s="32">
        <v>834.78</v>
      </c>
      <c r="O9" s="32">
        <v>1077.83</v>
      </c>
      <c r="P9" s="33">
        <f>SUM(D9:O9)</f>
        <v>9203.48</v>
      </c>
      <c r="Q9" s="34"/>
      <c r="S9" s="35"/>
      <c r="T9" s="36"/>
      <c r="U9" s="34"/>
      <c r="Z9" s="37"/>
      <c r="AB9" s="37"/>
    </row>
    <row r="10" spans="1:28" ht="12" customHeight="1" x14ac:dyDescent="0.25">
      <c r="A10" s="25">
        <v>2017</v>
      </c>
      <c r="B10" s="26" t="s">
        <v>28</v>
      </c>
      <c r="C10" s="30" t="s">
        <v>26</v>
      </c>
      <c r="D10" s="43">
        <v>114</v>
      </c>
      <c r="E10" s="43">
        <v>180</v>
      </c>
      <c r="F10" s="43">
        <f>0.55*F11</f>
        <v>296.45000000000005</v>
      </c>
      <c r="G10" s="43">
        <f>0.55*G11</f>
        <v>262.90000000000003</v>
      </c>
      <c r="H10" s="43">
        <f>0.45*H11</f>
        <v>105.75</v>
      </c>
      <c r="I10" s="43">
        <v>50</v>
      </c>
      <c r="J10" s="43">
        <v>35.799999999999997</v>
      </c>
      <c r="K10" s="43">
        <v>49</v>
      </c>
      <c r="L10" s="43">
        <f>0.6*L11</f>
        <v>108</v>
      </c>
      <c r="M10" s="43">
        <v>252</v>
      </c>
      <c r="N10" s="43">
        <f>0.6*N11</f>
        <v>293.39999999999998</v>
      </c>
      <c r="O10" s="43">
        <v>288</v>
      </c>
      <c r="P10" s="43">
        <f>SUM(D10:O10)</f>
        <v>2035.3000000000002</v>
      </c>
      <c r="Q10" s="34"/>
      <c r="R10" s="35"/>
      <c r="T10" s="36"/>
      <c r="U10" s="34"/>
      <c r="V10" s="35"/>
    </row>
    <row r="11" spans="1:28" ht="12" customHeight="1" x14ac:dyDescent="0.25">
      <c r="A11" s="25">
        <v>2017</v>
      </c>
      <c r="B11" s="40" t="s">
        <v>29</v>
      </c>
      <c r="C11" s="30" t="s">
        <v>66</v>
      </c>
      <c r="D11" s="32">
        <v>673</v>
      </c>
      <c r="E11" s="32">
        <v>630</v>
      </c>
      <c r="F11" s="32">
        <v>539</v>
      </c>
      <c r="G11" s="32">
        <v>478</v>
      </c>
      <c r="H11" s="32">
        <v>235</v>
      </c>
      <c r="I11" s="32">
        <v>44</v>
      </c>
      <c r="J11" s="32">
        <v>7</v>
      </c>
      <c r="K11" s="32">
        <v>20</v>
      </c>
      <c r="L11" s="32">
        <v>180</v>
      </c>
      <c r="M11" s="32">
        <v>396</v>
      </c>
      <c r="N11" s="32">
        <v>489</v>
      </c>
      <c r="O11" s="32">
        <v>551</v>
      </c>
      <c r="P11" s="32">
        <f>SUM(D11:O11)</f>
        <v>4242</v>
      </c>
      <c r="Q11" s="42"/>
      <c r="R11" s="42"/>
      <c r="S11" s="35"/>
      <c r="T11" s="36"/>
      <c r="U11" s="34"/>
      <c r="V11" s="35"/>
    </row>
    <row r="12" spans="1:28" ht="12" customHeight="1" x14ac:dyDescent="0.25">
      <c r="A12" s="25">
        <v>2017</v>
      </c>
      <c r="B12" s="40" t="s">
        <v>31</v>
      </c>
      <c r="C12" s="30" t="s">
        <v>66</v>
      </c>
      <c r="D12" s="32">
        <v>759</v>
      </c>
      <c r="E12" s="32">
        <v>699</v>
      </c>
      <c r="F12" s="32">
        <v>621</v>
      </c>
      <c r="G12" s="32">
        <v>403</v>
      </c>
      <c r="H12" s="32">
        <v>165</v>
      </c>
      <c r="I12" s="32">
        <v>22</v>
      </c>
      <c r="J12" s="32">
        <v>5</v>
      </c>
      <c r="K12" s="32">
        <v>28</v>
      </c>
      <c r="L12" s="32">
        <v>184</v>
      </c>
      <c r="M12" s="32">
        <v>386</v>
      </c>
      <c r="N12" s="32">
        <v>546</v>
      </c>
      <c r="O12" s="32">
        <v>692</v>
      </c>
      <c r="P12" s="32">
        <v>4510</v>
      </c>
      <c r="R12" s="42"/>
      <c r="T12" s="36"/>
      <c r="U12" s="34"/>
      <c r="V12" s="34"/>
    </row>
    <row r="13" spans="1:28" ht="12" customHeight="1" x14ac:dyDescent="0.25">
      <c r="A13" s="25">
        <v>2017</v>
      </c>
      <c r="B13" s="26" t="s">
        <v>32</v>
      </c>
      <c r="C13" s="30" t="s">
        <v>26</v>
      </c>
      <c r="D13" s="32">
        <f t="shared" ref="D13:O13" si="0">$K$3*D7</f>
        <v>372</v>
      </c>
      <c r="E13" s="32">
        <f t="shared" si="0"/>
        <v>336</v>
      </c>
      <c r="F13" s="32">
        <f t="shared" si="0"/>
        <v>372</v>
      </c>
      <c r="G13" s="32">
        <f t="shared" si="0"/>
        <v>360</v>
      </c>
      <c r="H13" s="32">
        <f t="shared" si="0"/>
        <v>372</v>
      </c>
      <c r="I13" s="32">
        <f t="shared" si="0"/>
        <v>360</v>
      </c>
      <c r="J13" s="32">
        <f t="shared" si="0"/>
        <v>372</v>
      </c>
      <c r="K13" s="32">
        <f t="shared" si="0"/>
        <v>372</v>
      </c>
      <c r="L13" s="32">
        <f t="shared" si="0"/>
        <v>360</v>
      </c>
      <c r="M13" s="32">
        <f t="shared" si="0"/>
        <v>372</v>
      </c>
      <c r="N13" s="32">
        <f t="shared" si="0"/>
        <v>360</v>
      </c>
      <c r="O13" s="32">
        <f t="shared" si="0"/>
        <v>372</v>
      </c>
      <c r="P13" s="32">
        <f>SUM(D13:O13)</f>
        <v>4380</v>
      </c>
      <c r="T13" s="36"/>
      <c r="U13" s="34"/>
    </row>
    <row r="14" spans="1:28" ht="12" customHeight="1" x14ac:dyDescent="0.25">
      <c r="A14" s="25">
        <v>2017</v>
      </c>
      <c r="B14" s="26" t="s">
        <v>33</v>
      </c>
      <c r="C14" s="30" t="s">
        <v>26</v>
      </c>
      <c r="D14" s="32">
        <f>D9-D13</f>
        <v>1044.83</v>
      </c>
      <c r="E14" s="32">
        <f>E9-E13</f>
        <v>925.68000000000006</v>
      </c>
      <c r="F14" s="32">
        <f>F9-F13</f>
        <v>541.28</v>
      </c>
      <c r="G14" s="32">
        <f>G9-G13</f>
        <v>450.4</v>
      </c>
      <c r="H14" s="32">
        <f>H10</f>
        <v>105.75</v>
      </c>
      <c r="I14" s="43">
        <f>I10</f>
        <v>50</v>
      </c>
      <c r="J14" s="43">
        <f>J10</f>
        <v>35.799999999999997</v>
      </c>
      <c r="K14" s="43">
        <f>K10</f>
        <v>49</v>
      </c>
      <c r="L14" s="32">
        <f>L9-L13</f>
        <v>142.25</v>
      </c>
      <c r="M14" s="32">
        <f>M9-M13</f>
        <v>391.78999999999996</v>
      </c>
      <c r="N14" s="32">
        <f>N9-N13</f>
        <v>474.78</v>
      </c>
      <c r="O14" s="32">
        <f>O9-O13</f>
        <v>705.82999999999993</v>
      </c>
      <c r="P14" s="32">
        <f>SUM(D14:O14)</f>
        <v>4917.3900000000003</v>
      </c>
      <c r="R14" s="35"/>
      <c r="T14" s="36"/>
      <c r="U14" s="34"/>
    </row>
    <row r="15" spans="1:28" ht="12" customHeight="1" x14ac:dyDescent="0.25">
      <c r="A15" s="25">
        <v>2017</v>
      </c>
      <c r="B15" s="26" t="s">
        <v>34</v>
      </c>
      <c r="C15" s="30" t="s">
        <v>26</v>
      </c>
      <c r="D15" s="32">
        <f>IF(D14&lt;0,0,((D12/D11))*D14)</f>
        <v>1178.3446805349181</v>
      </c>
      <c r="E15" s="32">
        <f>IF(E14&lt;0,0,((E12/E11))*E14)</f>
        <v>1027.0640000000001</v>
      </c>
      <c r="F15" s="32">
        <f>IF(F14&lt;0,0,((F12/F11))*F14)</f>
        <v>623.62686456400741</v>
      </c>
      <c r="G15" s="32">
        <f>IF(G14&lt;0,0,((G12/G11))*G14)</f>
        <v>379.73054393305438</v>
      </c>
      <c r="H15" s="32">
        <f>IF(H14&lt;0,0,((H12/H11))*H14)</f>
        <v>74.25</v>
      </c>
      <c r="I15" s="32">
        <f>I14</f>
        <v>50</v>
      </c>
      <c r="J15" s="32">
        <f>J14</f>
        <v>35.799999999999997</v>
      </c>
      <c r="K15" s="32">
        <f>K14</f>
        <v>49</v>
      </c>
      <c r="L15" s="32">
        <f>IF(L14&lt;0,0,((L12/L11))*L14)</f>
        <v>145.4111111111111</v>
      </c>
      <c r="M15" s="32">
        <f>IF(M14&lt;0,0,((M12/M11))*M14)</f>
        <v>381.89631313131309</v>
      </c>
      <c r="N15" s="32">
        <f>IF(N14&lt;0,0,((N12/N11))*N14)</f>
        <v>530.12245398773007</v>
      </c>
      <c r="O15" s="32">
        <f>IF(O14&lt;0,0,((O12/O11))*O14)</f>
        <v>886.45074410163318</v>
      </c>
      <c r="P15" s="33">
        <f>SUM(D15:O15)</f>
        <v>5361.6967113637675</v>
      </c>
      <c r="Q15" s="44"/>
      <c r="R15" s="45">
        <f>P14-P10</f>
        <v>2882.09</v>
      </c>
      <c r="T15" s="36"/>
      <c r="U15" s="34"/>
    </row>
    <row r="16" spans="1:28" ht="12" customHeight="1" x14ac:dyDescent="0.25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28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28" ht="12" customHeight="1" x14ac:dyDescent="0.25">
      <c r="A18" s="9" t="s">
        <v>35</v>
      </c>
      <c r="B18" s="10"/>
      <c r="C18" s="9" t="s">
        <v>5</v>
      </c>
      <c r="D18" s="4">
        <f t="shared" ref="D18:O18" si="1">D9/D7</f>
        <v>45.704193548387096</v>
      </c>
      <c r="E18" s="4">
        <f t="shared" si="1"/>
        <v>45.06</v>
      </c>
      <c r="F18" s="4">
        <f t="shared" si="1"/>
        <v>29.460645161290323</v>
      </c>
      <c r="G18" s="4">
        <f t="shared" si="1"/>
        <v>27.013333333333332</v>
      </c>
      <c r="H18" s="4">
        <f t="shared" si="1"/>
        <v>17.090645161290322</v>
      </c>
      <c r="I18" s="4">
        <f t="shared" si="1"/>
        <v>13.664666666666667</v>
      </c>
      <c r="J18" s="4">
        <f t="shared" si="1"/>
        <v>11.386129032258065</v>
      </c>
      <c r="K18" s="4">
        <f t="shared" si="1"/>
        <v>10.64258064516129</v>
      </c>
      <c r="L18" s="4">
        <f t="shared" si="1"/>
        <v>16.741666666666667</v>
      </c>
      <c r="M18" s="4">
        <f t="shared" si="1"/>
        <v>24.638387096774192</v>
      </c>
      <c r="N18" s="4">
        <f t="shared" si="1"/>
        <v>27.826000000000001</v>
      </c>
      <c r="O18" s="4">
        <f t="shared" si="1"/>
        <v>34.768709677419352</v>
      </c>
      <c r="P18" s="4" t="e">
        <f>#REF!/365</f>
        <v>#REF!</v>
      </c>
    </row>
    <row r="19" spans="1:28" ht="12" customHeight="1" x14ac:dyDescent="0.3">
      <c r="A19" s="10"/>
      <c r="B19" s="47" t="s">
        <v>36</v>
      </c>
      <c r="C19" s="11" t="s">
        <v>26</v>
      </c>
      <c r="D19" s="4">
        <f>SUM(D9)</f>
        <v>1416.83</v>
      </c>
      <c r="E19" s="4">
        <f>SUM($D$9:E9)</f>
        <v>2678.51</v>
      </c>
      <c r="F19" s="4">
        <f>SUM($D$9:F9)</f>
        <v>3591.79</v>
      </c>
      <c r="G19" s="4">
        <f>SUM($D$9:G9)</f>
        <v>4402.1899999999996</v>
      </c>
      <c r="H19" s="4">
        <f>SUM($D$9:H9)</f>
        <v>4932</v>
      </c>
      <c r="I19" s="4">
        <f>SUM($D$9:I9)</f>
        <v>5341.94</v>
      </c>
      <c r="J19" s="4">
        <f>SUM($D$9:J9)</f>
        <v>5694.91</v>
      </c>
      <c r="K19" s="4">
        <f>SUM($D$9:K9)</f>
        <v>6024.83</v>
      </c>
      <c r="L19" s="4">
        <f>SUM($D$9:L9)</f>
        <v>6527.08</v>
      </c>
      <c r="M19" s="4">
        <f>SUM($D$9:M9)</f>
        <v>7290.87</v>
      </c>
      <c r="N19" s="4">
        <f>SUM($D$9:N9)</f>
        <v>8125.65</v>
      </c>
      <c r="O19" s="4">
        <f>SUM($D$9:O9)</f>
        <v>9203.48</v>
      </c>
      <c r="P19" s="4"/>
    </row>
    <row r="20" spans="1:28" ht="12" customHeight="1" x14ac:dyDescent="0.3">
      <c r="A20" s="10"/>
      <c r="B20" s="47" t="s">
        <v>37</v>
      </c>
      <c r="C20" s="11" t="s">
        <v>26</v>
      </c>
      <c r="D20" s="4">
        <f>SUM(D10)</f>
        <v>114</v>
      </c>
      <c r="E20" s="4">
        <f>SUM($D$10:E10)</f>
        <v>294</v>
      </c>
      <c r="F20" s="4">
        <f>SUM($D$10:F10)</f>
        <v>590.45000000000005</v>
      </c>
      <c r="G20" s="4">
        <f>SUM($D$10:G10)</f>
        <v>853.35000000000014</v>
      </c>
      <c r="H20" s="4">
        <f>SUM($D$10:H10)</f>
        <v>959.10000000000014</v>
      </c>
      <c r="I20" s="4">
        <f>SUM($D$10:I10)</f>
        <v>1009.1000000000001</v>
      </c>
      <c r="J20" s="4">
        <f>SUM($D$10:J10)</f>
        <v>1044.9000000000001</v>
      </c>
      <c r="K20" s="4">
        <f>SUM($D$10:K10)</f>
        <v>1093.9000000000001</v>
      </c>
      <c r="L20" s="4">
        <f>SUM($D$10:L10)</f>
        <v>1201.9000000000001</v>
      </c>
      <c r="M20" s="4">
        <f>SUM($D$10:M10)</f>
        <v>1453.9</v>
      </c>
      <c r="N20" s="4">
        <f>SUM($D$10:N10)</f>
        <v>1747.3000000000002</v>
      </c>
      <c r="O20" s="4">
        <f>SUM($D$10:O10)</f>
        <v>2035.3000000000002</v>
      </c>
      <c r="P20" s="4"/>
      <c r="R20" s="36"/>
    </row>
    <row r="21" spans="1:28" ht="12" customHeight="1" x14ac:dyDescent="0.3">
      <c r="A21" s="10"/>
      <c r="B21" s="47" t="s">
        <v>38</v>
      </c>
      <c r="C21" s="11" t="s">
        <v>26</v>
      </c>
      <c r="D21" s="4">
        <f>SUM(D14)</f>
        <v>1044.83</v>
      </c>
      <c r="E21" s="4">
        <f>SUM($D$14:E14)</f>
        <v>1970.51</v>
      </c>
      <c r="F21" s="4">
        <f>SUM($D$14:F14)</f>
        <v>2511.79</v>
      </c>
      <c r="G21" s="4">
        <f>SUM($D$14:G14)</f>
        <v>2962.19</v>
      </c>
      <c r="H21" s="4">
        <f>SUM($D$14:H14)</f>
        <v>3067.94</v>
      </c>
      <c r="I21" s="4">
        <f>SUM($D$14:I14)</f>
        <v>3117.94</v>
      </c>
      <c r="J21" s="4">
        <f>SUM($D$14:J14)</f>
        <v>3153.7400000000002</v>
      </c>
      <c r="K21" s="4">
        <f>SUM($D$14:K14)</f>
        <v>3202.7400000000002</v>
      </c>
      <c r="L21" s="4">
        <f>SUM($D$14:L14)</f>
        <v>3344.9900000000002</v>
      </c>
      <c r="M21" s="4">
        <f>SUM($D$14:M14)</f>
        <v>3736.78</v>
      </c>
      <c r="N21" s="4">
        <f>SUM($D$14:N14)</f>
        <v>4211.5600000000004</v>
      </c>
      <c r="O21" s="4">
        <f>SUM($D$14:O14)</f>
        <v>4917.3900000000003</v>
      </c>
      <c r="P21" s="4"/>
      <c r="R21" s="36"/>
      <c r="S21" s="48"/>
    </row>
    <row r="22" spans="1:28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R22" s="42"/>
      <c r="S22" s="48"/>
    </row>
    <row r="23" spans="1:28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50"/>
      <c r="V23" s="34"/>
    </row>
    <row r="24" spans="1:28" ht="12" customHeight="1" x14ac:dyDescent="0.25">
      <c r="A24" s="9"/>
      <c r="B24" s="9" t="s">
        <v>40</v>
      </c>
      <c r="C24" s="9"/>
      <c r="D24" s="51">
        <f t="shared" ref="D24:P24" si="2">D14/D9</f>
        <v>0.73744203609466197</v>
      </c>
      <c r="E24" s="51">
        <f t="shared" si="2"/>
        <v>0.73368841544607188</v>
      </c>
      <c r="F24" s="51">
        <f t="shared" si="2"/>
        <v>0.59267694463910303</v>
      </c>
      <c r="G24" s="51">
        <f t="shared" si="2"/>
        <v>0.55577492596248768</v>
      </c>
      <c r="H24" s="51">
        <f t="shared" si="2"/>
        <v>0.19959985655234896</v>
      </c>
      <c r="I24" s="51">
        <f t="shared" si="2"/>
        <v>0.12196906864419184</v>
      </c>
      <c r="J24" s="51">
        <f t="shared" si="2"/>
        <v>0.10142505028755984</v>
      </c>
      <c r="K24" s="51">
        <f t="shared" si="2"/>
        <v>0.14852085354025218</v>
      </c>
      <c r="L24" s="51">
        <f t="shared" si="2"/>
        <v>0.28322548531607766</v>
      </c>
      <c r="M24" s="51">
        <f t="shared" si="2"/>
        <v>0.51295513164613304</v>
      </c>
      <c r="N24" s="51">
        <f t="shared" si="2"/>
        <v>0.56874865233953853</v>
      </c>
      <c r="O24" s="51">
        <f t="shared" si="2"/>
        <v>0.65486208400211532</v>
      </c>
      <c r="P24" s="51">
        <f t="shared" si="2"/>
        <v>0.53429680946772318</v>
      </c>
      <c r="Q24" s="34"/>
      <c r="R24" s="34"/>
      <c r="S24" s="34"/>
      <c r="T24" s="34"/>
      <c r="U24" s="34"/>
      <c r="V24" s="34"/>
      <c r="W24" s="9"/>
      <c r="X24" s="9"/>
      <c r="Y24" s="9"/>
      <c r="Z24" s="9"/>
      <c r="AA24" s="9"/>
      <c r="AB24" s="9"/>
    </row>
    <row r="25" spans="1:28" ht="12" customHeight="1" x14ac:dyDescent="0.3">
      <c r="B25" s="47" t="s">
        <v>41</v>
      </c>
      <c r="C25" s="9" t="s">
        <v>42</v>
      </c>
      <c r="D25" s="4">
        <f t="shared" ref="D25:P25" si="3">D14/D11</f>
        <v>1.5524962852897473</v>
      </c>
      <c r="E25" s="4">
        <f t="shared" si="3"/>
        <v>1.4693333333333334</v>
      </c>
      <c r="F25" s="4">
        <f t="shared" si="3"/>
        <v>1.004230055658627</v>
      </c>
      <c r="G25" s="4">
        <f t="shared" si="3"/>
        <v>0.94225941422594139</v>
      </c>
      <c r="H25" s="4">
        <f t="shared" si="3"/>
        <v>0.45</v>
      </c>
      <c r="I25" s="4">
        <f t="shared" si="3"/>
        <v>1.1363636363636365</v>
      </c>
      <c r="J25" s="4">
        <f t="shared" si="3"/>
        <v>5.1142857142857139</v>
      </c>
      <c r="K25" s="4">
        <f t="shared" si="3"/>
        <v>2.4500000000000002</v>
      </c>
      <c r="L25" s="4">
        <f t="shared" si="3"/>
        <v>0.79027777777777775</v>
      </c>
      <c r="M25" s="4">
        <f t="shared" si="3"/>
        <v>0.98936868686868673</v>
      </c>
      <c r="N25" s="4">
        <f t="shared" si="3"/>
        <v>0.97092024539877297</v>
      </c>
      <c r="O25" s="4">
        <f t="shared" si="3"/>
        <v>1.2809981851179673</v>
      </c>
      <c r="P25" s="4">
        <f t="shared" si="3"/>
        <v>1.1592149929278643</v>
      </c>
      <c r="T25" s="36"/>
      <c r="U25" s="14"/>
    </row>
    <row r="26" spans="1:28" ht="12" customHeight="1" x14ac:dyDescent="0.3">
      <c r="B26" s="47" t="s">
        <v>41</v>
      </c>
      <c r="C26" s="11" t="s">
        <v>5</v>
      </c>
      <c r="D26" s="4">
        <f t="shared" ref="D26:P26" si="4">D14/D7</f>
        <v>33.704193548387096</v>
      </c>
      <c r="E26" s="4">
        <f t="shared" si="4"/>
        <v>33.06</v>
      </c>
      <c r="F26" s="4">
        <f t="shared" si="4"/>
        <v>17.460645161290323</v>
      </c>
      <c r="G26" s="4">
        <f t="shared" si="4"/>
        <v>15.013333333333332</v>
      </c>
      <c r="H26" s="4">
        <f t="shared" si="4"/>
        <v>3.411290322580645</v>
      </c>
      <c r="I26" s="4">
        <f t="shared" si="4"/>
        <v>1.6666666666666667</v>
      </c>
      <c r="J26" s="4">
        <f t="shared" si="4"/>
        <v>1.1548387096774193</v>
      </c>
      <c r="K26" s="4">
        <f t="shared" si="4"/>
        <v>1.5806451612903225</v>
      </c>
      <c r="L26" s="4">
        <f t="shared" si="4"/>
        <v>4.7416666666666663</v>
      </c>
      <c r="M26" s="4">
        <f t="shared" si="4"/>
        <v>12.638387096774192</v>
      </c>
      <c r="N26" s="4">
        <f t="shared" si="4"/>
        <v>15.825999999999999</v>
      </c>
      <c r="O26" s="4">
        <f t="shared" si="4"/>
        <v>22.768709677419352</v>
      </c>
      <c r="P26" s="4">
        <f t="shared" si="4"/>
        <v>13.472301369863015</v>
      </c>
      <c r="S26" s="36"/>
      <c r="T26" s="52"/>
      <c r="U26" s="34"/>
    </row>
    <row r="27" spans="1:28" ht="12" customHeight="1" x14ac:dyDescent="0.3">
      <c r="B27" s="47" t="s">
        <v>43</v>
      </c>
      <c r="C27" s="11" t="s">
        <v>5</v>
      </c>
      <c r="D27" s="4">
        <f t="shared" ref="D27:P27" si="5">D15/D7</f>
        <v>38.011118726932843</v>
      </c>
      <c r="E27" s="4">
        <f t="shared" si="5"/>
        <v>36.680857142857143</v>
      </c>
      <c r="F27" s="4">
        <f t="shared" si="5"/>
        <v>20.116995631097012</v>
      </c>
      <c r="G27" s="4">
        <f t="shared" si="5"/>
        <v>12.657684797768479</v>
      </c>
      <c r="H27" s="4">
        <f t="shared" si="5"/>
        <v>2.3951612903225805</v>
      </c>
      <c r="I27" s="4">
        <f t="shared" si="5"/>
        <v>1.6666666666666667</v>
      </c>
      <c r="J27" s="4">
        <f t="shared" si="5"/>
        <v>1.1548387096774193</v>
      </c>
      <c r="K27" s="4">
        <f t="shared" si="5"/>
        <v>1.5806451612903225</v>
      </c>
      <c r="L27" s="4">
        <f t="shared" si="5"/>
        <v>4.8470370370370368</v>
      </c>
      <c r="M27" s="4">
        <f t="shared" si="5"/>
        <v>12.319235907461712</v>
      </c>
      <c r="N27" s="4">
        <f t="shared" si="5"/>
        <v>17.67074846625767</v>
      </c>
      <c r="O27" s="4">
        <f t="shared" si="5"/>
        <v>28.59518529360107</v>
      </c>
      <c r="P27" s="4">
        <f t="shared" si="5"/>
        <v>14.689580031133609</v>
      </c>
      <c r="U27" s="34"/>
    </row>
    <row r="28" spans="1:28" ht="12" customHeight="1" x14ac:dyDescent="0.3">
      <c r="B28" s="47" t="s">
        <v>44</v>
      </c>
      <c r="C28" s="47" t="s">
        <v>45</v>
      </c>
      <c r="D28" s="4">
        <f t="shared" ref="D28:P28" si="6">D14/$F$4</f>
        <v>3.769227994227994</v>
      </c>
      <c r="E28" s="4">
        <f t="shared" si="6"/>
        <v>3.3393939393939398</v>
      </c>
      <c r="F28" s="4">
        <f t="shared" si="6"/>
        <v>1.9526695526695526</v>
      </c>
      <c r="G28" s="4">
        <f t="shared" si="6"/>
        <v>1.6248196248196247</v>
      </c>
      <c r="H28" s="4">
        <f t="shared" si="6"/>
        <v>0.3814935064935065</v>
      </c>
      <c r="I28" s="4">
        <f t="shared" si="6"/>
        <v>0.18037518037518038</v>
      </c>
      <c r="J28" s="4">
        <f t="shared" si="6"/>
        <v>0.12914862914862915</v>
      </c>
      <c r="K28" s="4">
        <f t="shared" si="6"/>
        <v>0.17676767676767677</v>
      </c>
      <c r="L28" s="4">
        <f t="shared" si="6"/>
        <v>0.51316738816738816</v>
      </c>
      <c r="M28" s="4">
        <f t="shared" si="6"/>
        <v>1.4133838383838384</v>
      </c>
      <c r="N28" s="4">
        <f t="shared" si="6"/>
        <v>1.7127705627705627</v>
      </c>
      <c r="O28" s="4">
        <f t="shared" si="6"/>
        <v>2.546284271284271</v>
      </c>
      <c r="P28" s="4">
        <f t="shared" si="6"/>
        <v>17.739502164502166</v>
      </c>
      <c r="R28" s="36"/>
      <c r="U28" s="34"/>
    </row>
    <row r="29" spans="1:28" ht="12" customHeight="1" x14ac:dyDescent="0.3">
      <c r="B29" s="47" t="s">
        <v>44</v>
      </c>
      <c r="C29" s="47" t="s">
        <v>46</v>
      </c>
      <c r="D29" s="4">
        <f t="shared" ref="D29:P29" si="7">D14/$F$3</f>
        <v>9.4984545454545444</v>
      </c>
      <c r="E29" s="4">
        <f t="shared" si="7"/>
        <v>8.4152727272727272</v>
      </c>
      <c r="F29" s="4">
        <f t="shared" si="7"/>
        <v>4.9207272727272722</v>
      </c>
      <c r="G29" s="4">
        <f t="shared" si="7"/>
        <v>4.0945454545454547</v>
      </c>
      <c r="H29" s="4">
        <f t="shared" si="7"/>
        <v>0.96136363636363631</v>
      </c>
      <c r="I29" s="4">
        <f t="shared" si="7"/>
        <v>0.45454545454545453</v>
      </c>
      <c r="J29" s="4">
        <f t="shared" si="7"/>
        <v>0.32545454545454544</v>
      </c>
      <c r="K29" s="4">
        <f t="shared" si="7"/>
        <v>0.44545454545454544</v>
      </c>
      <c r="L29" s="4">
        <f t="shared" si="7"/>
        <v>1.2931818181818182</v>
      </c>
      <c r="M29" s="4">
        <f t="shared" si="7"/>
        <v>3.5617272727272722</v>
      </c>
      <c r="N29" s="4">
        <f t="shared" si="7"/>
        <v>4.3161818181818177</v>
      </c>
      <c r="O29" s="4">
        <f t="shared" si="7"/>
        <v>6.4166363636363632</v>
      </c>
      <c r="P29" s="4">
        <f t="shared" si="7"/>
        <v>44.703545454545456</v>
      </c>
      <c r="U29" s="34"/>
    </row>
    <row r="30" spans="1:28" ht="12" customHeight="1" x14ac:dyDescent="0.3">
      <c r="B30" s="47" t="s">
        <v>47</v>
      </c>
      <c r="C30" s="47" t="s">
        <v>45</v>
      </c>
      <c r="D30" s="4">
        <f t="shared" ref="D30:P30" si="8">D15/$F$4</f>
        <v>4.2508826859124031</v>
      </c>
      <c r="E30" s="4">
        <f t="shared" si="8"/>
        <v>3.7051370851370855</v>
      </c>
      <c r="F30" s="4">
        <f t="shared" si="8"/>
        <v>2.2497361636508204</v>
      </c>
      <c r="G30" s="4">
        <f t="shared" si="8"/>
        <v>1.3698793071178008</v>
      </c>
      <c r="H30" s="4">
        <f t="shared" si="8"/>
        <v>0.26785714285714285</v>
      </c>
      <c r="I30" s="4">
        <f t="shared" si="8"/>
        <v>0.18037518037518038</v>
      </c>
      <c r="J30" s="4">
        <f t="shared" si="8"/>
        <v>0.12914862914862915</v>
      </c>
      <c r="K30" s="4">
        <f t="shared" si="8"/>
        <v>0.17676767676767677</v>
      </c>
      <c r="L30" s="4">
        <f t="shared" si="8"/>
        <v>0.52457110790444117</v>
      </c>
      <c r="M30" s="4">
        <f t="shared" si="8"/>
        <v>1.3776923273135393</v>
      </c>
      <c r="N30" s="4">
        <f t="shared" si="8"/>
        <v>1.9124186651794015</v>
      </c>
      <c r="O30" s="4">
        <f t="shared" si="8"/>
        <v>3.1978742572208989</v>
      </c>
      <c r="P30" s="4">
        <f t="shared" si="8"/>
        <v>19.342340228585019</v>
      </c>
      <c r="U30" s="34"/>
    </row>
    <row r="31" spans="1:28" ht="12" customHeight="1" x14ac:dyDescent="0.3">
      <c r="B31" s="47" t="s">
        <v>47</v>
      </c>
      <c r="C31" s="47" t="s">
        <v>46</v>
      </c>
      <c r="D31" s="4">
        <f t="shared" ref="D31:P31" si="9">D15/$F$3</f>
        <v>10.712224368499255</v>
      </c>
      <c r="E31" s="4">
        <f t="shared" si="9"/>
        <v>9.3369454545454555</v>
      </c>
      <c r="F31" s="4">
        <f t="shared" si="9"/>
        <v>5.6693351324000671</v>
      </c>
      <c r="G31" s="4">
        <f t="shared" si="9"/>
        <v>3.452095853936858</v>
      </c>
      <c r="H31" s="4">
        <f t="shared" si="9"/>
        <v>0.67500000000000004</v>
      </c>
      <c r="I31" s="4">
        <f t="shared" si="9"/>
        <v>0.45454545454545453</v>
      </c>
      <c r="J31" s="4">
        <f t="shared" si="9"/>
        <v>0.32545454545454544</v>
      </c>
      <c r="K31" s="4">
        <f t="shared" si="9"/>
        <v>0.44545454545454544</v>
      </c>
      <c r="L31" s="4">
        <f t="shared" si="9"/>
        <v>1.3219191919191917</v>
      </c>
      <c r="M31" s="4">
        <f t="shared" si="9"/>
        <v>3.4717846648301189</v>
      </c>
      <c r="N31" s="4">
        <f t="shared" si="9"/>
        <v>4.8192950362520914</v>
      </c>
      <c r="O31" s="4">
        <f t="shared" si="9"/>
        <v>8.0586431281966657</v>
      </c>
      <c r="P31" s="4">
        <f t="shared" si="9"/>
        <v>48.742697376034251</v>
      </c>
    </row>
    <row r="32" spans="1:28" ht="12" customHeight="1" x14ac:dyDescent="0.3">
      <c r="B32" s="47" t="s">
        <v>44</v>
      </c>
      <c r="C32" s="47" t="s">
        <v>48</v>
      </c>
      <c r="D32" s="4">
        <f t="shared" ref="D32:P32" si="10">1000*D28/D11</f>
        <v>5.6006359498187139</v>
      </c>
      <c r="E32" s="4">
        <f t="shared" si="10"/>
        <v>5.3006253006253017</v>
      </c>
      <c r="F32" s="4">
        <f t="shared" si="10"/>
        <v>3.6227635485520455</v>
      </c>
      <c r="G32" s="4">
        <f t="shared" si="10"/>
        <v>3.3992042360243198</v>
      </c>
      <c r="H32" s="4">
        <f t="shared" si="10"/>
        <v>1.6233766233766234</v>
      </c>
      <c r="I32" s="4">
        <f t="shared" si="10"/>
        <v>4.0994359176177362</v>
      </c>
      <c r="J32" s="4">
        <f t="shared" si="10"/>
        <v>18.449804164089876</v>
      </c>
      <c r="K32" s="4">
        <f t="shared" si="10"/>
        <v>8.8383838383838373</v>
      </c>
      <c r="L32" s="4">
        <f t="shared" si="10"/>
        <v>2.8509299342632675</v>
      </c>
      <c r="M32" s="4">
        <f t="shared" si="10"/>
        <v>3.5691511070298949</v>
      </c>
      <c r="N32" s="4">
        <f t="shared" si="10"/>
        <v>3.5025982878743616</v>
      </c>
      <c r="O32" s="4">
        <f t="shared" si="10"/>
        <v>4.6212055740186413</v>
      </c>
      <c r="P32" s="4">
        <f t="shared" si="10"/>
        <v>4.1818722688595393</v>
      </c>
    </row>
    <row r="33" spans="1:16" ht="12" customHeight="1" x14ac:dyDescent="0.25">
      <c r="D33" s="36"/>
      <c r="E33" s="36"/>
      <c r="F33" s="36"/>
      <c r="G33" s="36"/>
      <c r="H33" s="4"/>
      <c r="I33" s="4"/>
      <c r="J33" s="4"/>
      <c r="K33" s="4"/>
      <c r="L33" s="4"/>
      <c r="M33" s="4"/>
      <c r="N33" s="4"/>
      <c r="O33" s="4"/>
      <c r="P33" s="4"/>
    </row>
    <row r="34" spans="1:16" ht="12" customHeight="1" x14ac:dyDescent="0.25">
      <c r="A34" s="10" t="s">
        <v>49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2" customHeight="1" x14ac:dyDescent="0.25"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3">
      <c r="B36" s="47" t="s">
        <v>50</v>
      </c>
      <c r="D36" s="13">
        <f>4400*1.3</f>
        <v>5720</v>
      </c>
      <c r="E36" s="11" t="s">
        <v>26</v>
      </c>
      <c r="F36" s="51">
        <f>D36/$D$38</f>
        <v>0.56633663366336628</v>
      </c>
      <c r="G36" s="11" t="s">
        <v>51</v>
      </c>
      <c r="H36" s="4"/>
      <c r="I36" s="4"/>
      <c r="J36" s="4"/>
      <c r="K36" s="4">
        <f>'2007'!D34</f>
        <v>8566</v>
      </c>
      <c r="L36" s="11" t="s">
        <v>26</v>
      </c>
      <c r="M36" s="11" t="s">
        <v>52</v>
      </c>
      <c r="N36" s="4"/>
      <c r="O36" s="4"/>
      <c r="P36" s="4"/>
    </row>
    <row r="37" spans="1:16" ht="12" customHeight="1" x14ac:dyDescent="0.25">
      <c r="B37" s="53" t="s">
        <v>53</v>
      </c>
      <c r="C37" s="53"/>
      <c r="D37" s="54">
        <f>K3*365</f>
        <v>4380</v>
      </c>
      <c r="E37" s="55" t="s">
        <v>26</v>
      </c>
      <c r="F37" s="51">
        <f>D37/$D$38</f>
        <v>0.43366336633663366</v>
      </c>
      <c r="G37" s="11" t="s">
        <v>54</v>
      </c>
      <c r="H37" s="4"/>
      <c r="I37" s="4"/>
      <c r="J37" s="4"/>
      <c r="K37" s="4">
        <f>K36-D36</f>
        <v>2846</v>
      </c>
      <c r="L37" s="11" t="s">
        <v>26</v>
      </c>
      <c r="M37" s="4"/>
      <c r="N37" s="13">
        <f>'2007'!I36</f>
        <v>14540</v>
      </c>
      <c r="O37" s="11" t="s">
        <v>26</v>
      </c>
      <c r="P37" s="4"/>
    </row>
    <row r="38" spans="1:16" ht="12" customHeight="1" x14ac:dyDescent="0.3">
      <c r="B38" s="47" t="s">
        <v>22</v>
      </c>
      <c r="D38" s="13">
        <f>SUM(D36:D37)</f>
        <v>10100</v>
      </c>
      <c r="E38" s="11" t="s">
        <v>26</v>
      </c>
      <c r="F38" s="4"/>
      <c r="G38" s="11" t="s">
        <v>55</v>
      </c>
      <c r="H38" s="4"/>
      <c r="I38" s="4"/>
      <c r="J38" s="4"/>
      <c r="K38" s="51">
        <f>K37/K36</f>
        <v>0.33224375437777259</v>
      </c>
      <c r="L38" s="4"/>
      <c r="M38" s="4"/>
      <c r="N38" s="4"/>
      <c r="O38" s="4"/>
      <c r="P38" s="4"/>
    </row>
    <row r="39" spans="1:16" ht="12" customHeight="1" x14ac:dyDescent="0.25">
      <c r="D39" s="4"/>
      <c r="E39" s="4"/>
      <c r="F39" s="4"/>
      <c r="G39" s="11" t="s">
        <v>56</v>
      </c>
      <c r="H39" s="4"/>
      <c r="I39" s="4"/>
      <c r="J39" s="4"/>
      <c r="K39" s="51">
        <f>K37/(SUM(D37)+K36)</f>
        <v>0.21983624285493589</v>
      </c>
      <c r="L39" s="4"/>
      <c r="M39" s="4"/>
      <c r="N39" s="4"/>
      <c r="O39" s="4"/>
      <c r="P39" s="4"/>
    </row>
    <row r="40" spans="1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9" ht="12" customHeight="1" x14ac:dyDescent="0.3">
      <c r="A49" s="47" t="s">
        <v>57</v>
      </c>
      <c r="D49" s="4" t="s">
        <v>58</v>
      </c>
      <c r="E49" s="4" t="s">
        <v>59</v>
      </c>
      <c r="F49" s="4" t="s">
        <v>60</v>
      </c>
      <c r="G49" s="11" t="s">
        <v>61</v>
      </c>
      <c r="H49" s="4"/>
      <c r="I49" s="4"/>
      <c r="J49" s="4"/>
      <c r="K49" s="4"/>
      <c r="L49" s="4"/>
      <c r="M49" s="4"/>
      <c r="N49" s="4"/>
      <c r="O49" s="4"/>
      <c r="P49" s="4"/>
    </row>
    <row r="50" spans="1:19" ht="12" customHeight="1" x14ac:dyDescent="0.25">
      <c r="B50" s="56">
        <v>41633</v>
      </c>
      <c r="D50" s="4">
        <v>495.16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9" ht="12" customHeight="1" x14ac:dyDescent="0.25">
      <c r="B51" s="56">
        <v>41645</v>
      </c>
      <c r="D51" s="4">
        <v>584.70000000000005</v>
      </c>
      <c r="E51" s="13">
        <f t="shared" ref="E51:E93" si="11">DAYS360(B50,B51)</f>
        <v>11</v>
      </c>
      <c r="F51" s="4">
        <f t="shared" ref="F51:F93" si="12">(D51-D50)/E51</f>
        <v>8.1400000000000023</v>
      </c>
      <c r="G51" s="13">
        <v>195</v>
      </c>
      <c r="H51" s="57">
        <f t="shared" ref="H51:H56" si="13">(D51-D50)/G51</f>
        <v>0.45917948717948731</v>
      </c>
      <c r="I51" s="4"/>
      <c r="J51" s="4"/>
      <c r="K51" s="4"/>
      <c r="L51" s="4"/>
      <c r="M51" s="4"/>
      <c r="N51" s="4"/>
      <c r="O51" s="4"/>
      <c r="P51" s="4"/>
    </row>
    <row r="52" spans="1:19" ht="12" customHeight="1" x14ac:dyDescent="0.25">
      <c r="B52" s="56">
        <v>41692</v>
      </c>
      <c r="D52" s="4">
        <v>1079.44</v>
      </c>
      <c r="E52" s="13">
        <f t="shared" si="11"/>
        <v>46</v>
      </c>
      <c r="F52" s="4">
        <f t="shared" si="12"/>
        <v>10.755217391304347</v>
      </c>
      <c r="G52" s="13">
        <v>1116</v>
      </c>
      <c r="H52" s="57">
        <f t="shared" si="13"/>
        <v>0.44331541218637993</v>
      </c>
      <c r="I52" s="4"/>
      <c r="J52" s="4"/>
      <c r="K52" s="4"/>
      <c r="L52" s="4"/>
      <c r="M52" s="4"/>
      <c r="N52" s="4"/>
      <c r="O52" s="4"/>
      <c r="P52" s="4"/>
    </row>
    <row r="53" spans="1:19" ht="12" customHeight="1" x14ac:dyDescent="0.25">
      <c r="B53" s="56">
        <v>41720</v>
      </c>
      <c r="D53" s="4">
        <v>1376.73</v>
      </c>
      <c r="E53" s="13">
        <f t="shared" si="11"/>
        <v>30</v>
      </c>
      <c r="F53" s="4">
        <f t="shared" si="12"/>
        <v>9.9096666666666646</v>
      </c>
      <c r="G53" s="13">
        <v>459</v>
      </c>
      <c r="H53" s="57">
        <f t="shared" si="13"/>
        <v>0.64769063180827879</v>
      </c>
      <c r="I53" s="4"/>
      <c r="J53" s="4"/>
      <c r="K53" s="4"/>
      <c r="L53" s="4"/>
      <c r="M53" s="4"/>
      <c r="N53" s="4"/>
      <c r="O53" s="4"/>
      <c r="P53" s="4"/>
    </row>
    <row r="54" spans="1:19" ht="12" customHeight="1" x14ac:dyDescent="0.25">
      <c r="B54" s="56">
        <v>41734</v>
      </c>
      <c r="D54" s="4">
        <v>1545.36</v>
      </c>
      <c r="E54" s="13">
        <f t="shared" si="11"/>
        <v>13</v>
      </c>
      <c r="F54" s="4">
        <f t="shared" si="12"/>
        <v>12.971538461538453</v>
      </c>
      <c r="G54" s="4">
        <v>173</v>
      </c>
      <c r="H54" s="57">
        <f t="shared" si="13"/>
        <v>0.97473988439306292</v>
      </c>
      <c r="I54" s="4"/>
      <c r="J54" s="4"/>
      <c r="K54" s="4"/>
      <c r="L54" s="4"/>
      <c r="M54" s="4"/>
      <c r="N54" s="4" t="s">
        <v>62</v>
      </c>
      <c r="O54" s="4"/>
      <c r="P54" s="4"/>
    </row>
    <row r="55" spans="1:19" ht="12" customHeight="1" x14ac:dyDescent="0.25">
      <c r="B55" s="56">
        <v>41791</v>
      </c>
      <c r="D55" s="4">
        <v>2153</v>
      </c>
      <c r="E55" s="13">
        <f t="shared" si="11"/>
        <v>56</v>
      </c>
      <c r="F55" s="4">
        <f t="shared" si="12"/>
        <v>10.850714285714288</v>
      </c>
      <c r="G55" s="4">
        <v>537</v>
      </c>
      <c r="H55" s="57">
        <f t="shared" si="13"/>
        <v>1.1315456238361268</v>
      </c>
      <c r="I55" s="4"/>
      <c r="J55" s="4"/>
      <c r="K55" s="4"/>
      <c r="L55" s="84">
        <v>41851</v>
      </c>
      <c r="M55" s="84"/>
      <c r="N55" s="4">
        <v>2274.96</v>
      </c>
      <c r="O55" s="4">
        <f>N55-D57</f>
        <v>13.269999999999982</v>
      </c>
      <c r="P55" s="4"/>
      <c r="S55" s="14"/>
    </row>
    <row r="56" spans="1:19" ht="12" customHeight="1" x14ac:dyDescent="0.25">
      <c r="B56" s="56">
        <v>41814</v>
      </c>
      <c r="D56" s="4">
        <v>2233.4699999999998</v>
      </c>
      <c r="E56" s="13">
        <f t="shared" si="11"/>
        <v>23</v>
      </c>
      <c r="F56" s="4">
        <f t="shared" si="12"/>
        <v>3.4986956521739043</v>
      </c>
      <c r="G56" s="4">
        <v>78.2</v>
      </c>
      <c r="H56" s="57">
        <f t="shared" si="13"/>
        <v>1.0290281329923248</v>
      </c>
      <c r="I56" s="4"/>
      <c r="J56" s="4"/>
      <c r="K56" s="4"/>
      <c r="L56" s="4"/>
      <c r="M56" s="4"/>
      <c r="N56" s="4"/>
      <c r="O56" s="4"/>
      <c r="P56" s="4"/>
    </row>
    <row r="57" spans="1:19" ht="12" customHeight="1" x14ac:dyDescent="0.25">
      <c r="B57" s="56">
        <v>41825</v>
      </c>
      <c r="D57" s="4">
        <v>2261.69</v>
      </c>
      <c r="E57" s="13">
        <f t="shared" si="11"/>
        <v>11</v>
      </c>
      <c r="F57" s="4">
        <f t="shared" si="12"/>
        <v>2.5654545454545685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9" ht="12" customHeight="1" x14ac:dyDescent="0.25">
      <c r="B58" s="56">
        <v>41852</v>
      </c>
      <c r="D58" s="4">
        <v>2274.96</v>
      </c>
      <c r="E58" s="13">
        <f t="shared" si="11"/>
        <v>26</v>
      </c>
      <c r="F58" s="4">
        <f t="shared" si="12"/>
        <v>0.51038461538461466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9" ht="12" customHeight="1" x14ac:dyDescent="0.25">
      <c r="B59" s="56">
        <v>41882</v>
      </c>
      <c r="D59" s="4">
        <v>2314.3200000000002</v>
      </c>
      <c r="E59" s="13">
        <f t="shared" si="11"/>
        <v>30</v>
      </c>
      <c r="F59" s="4">
        <f t="shared" si="12"/>
        <v>1.3120000000000043</v>
      </c>
      <c r="G59" s="4">
        <v>13</v>
      </c>
      <c r="H59" s="4"/>
      <c r="I59" s="4">
        <f>D59-D58</f>
        <v>39.360000000000127</v>
      </c>
      <c r="J59" s="4"/>
      <c r="K59" s="4"/>
      <c r="L59" s="4"/>
      <c r="M59" s="4"/>
      <c r="N59" s="4"/>
      <c r="O59" s="4"/>
      <c r="P59" s="4"/>
    </row>
    <row r="60" spans="1:19" ht="12" customHeight="1" x14ac:dyDescent="0.25">
      <c r="B60" s="56">
        <v>41889</v>
      </c>
      <c r="D60" s="4">
        <v>2330.23</v>
      </c>
      <c r="E60" s="13">
        <f t="shared" si="11"/>
        <v>7</v>
      </c>
      <c r="F60" s="4">
        <f t="shared" si="12"/>
        <v>2.2728571428571223</v>
      </c>
      <c r="G60" s="4">
        <f>3.8*7</f>
        <v>26.599999999999998</v>
      </c>
      <c r="H60" s="57">
        <f t="shared" ref="H60:H76" si="14">(D60-D59)/G60</f>
        <v>0.59812030075187428</v>
      </c>
      <c r="I60" s="4"/>
      <c r="J60" s="4"/>
      <c r="K60" s="4"/>
      <c r="L60" s="4"/>
      <c r="M60" s="4"/>
      <c r="N60" s="4"/>
      <c r="O60" s="4"/>
      <c r="P60" s="4"/>
    </row>
    <row r="61" spans="1:19" ht="12" customHeight="1" x14ac:dyDescent="0.25">
      <c r="B61" s="56">
        <v>41929</v>
      </c>
      <c r="D61" s="4">
        <v>2507</v>
      </c>
      <c r="E61" s="13">
        <f t="shared" si="11"/>
        <v>40</v>
      </c>
      <c r="F61" s="4">
        <f t="shared" si="12"/>
        <v>4.4192499999999999</v>
      </c>
      <c r="G61" s="4">
        <f>7*40</f>
        <v>280</v>
      </c>
      <c r="H61" s="57">
        <f t="shared" si="14"/>
        <v>0.63132142857142848</v>
      </c>
      <c r="I61" s="4"/>
      <c r="J61" s="4"/>
      <c r="K61" s="4"/>
      <c r="L61" s="4"/>
      <c r="M61" s="4"/>
      <c r="N61" s="4"/>
      <c r="O61" s="4"/>
      <c r="P61" s="4"/>
    </row>
    <row r="62" spans="1:19" ht="12" customHeight="1" x14ac:dyDescent="0.25">
      <c r="B62" s="56">
        <v>41951</v>
      </c>
      <c r="D62" s="4">
        <v>2695.68</v>
      </c>
      <c r="E62" s="13">
        <f t="shared" si="11"/>
        <v>21</v>
      </c>
      <c r="F62" s="4">
        <f t="shared" si="12"/>
        <v>8.9847619047618963</v>
      </c>
      <c r="G62" s="4">
        <f>21*12.5</f>
        <v>262.5</v>
      </c>
      <c r="H62" s="57">
        <f t="shared" si="14"/>
        <v>0.71878095238095174</v>
      </c>
      <c r="I62" s="4"/>
      <c r="J62" s="4"/>
      <c r="K62" s="4"/>
      <c r="L62" s="4"/>
      <c r="M62" s="4"/>
      <c r="N62" s="4"/>
      <c r="O62" s="4"/>
      <c r="P62" s="4"/>
    </row>
    <row r="63" spans="1:19" ht="12" customHeight="1" x14ac:dyDescent="0.25">
      <c r="A63" s="48"/>
      <c r="B63" s="56">
        <v>42035</v>
      </c>
      <c r="D63" s="4">
        <v>3422.93</v>
      </c>
      <c r="E63" s="13">
        <f t="shared" si="11"/>
        <v>83</v>
      </c>
      <c r="F63" s="4">
        <f t="shared" si="12"/>
        <v>8.7620481927710845</v>
      </c>
      <c r="G63" s="4">
        <v>1643</v>
      </c>
      <c r="H63" s="57">
        <f t="shared" si="14"/>
        <v>0.44263542300669506</v>
      </c>
      <c r="I63" s="4"/>
      <c r="J63" s="4"/>
      <c r="K63" s="4"/>
      <c r="L63" s="4">
        <f>D63-D50</f>
        <v>2927.77</v>
      </c>
      <c r="M63" s="4"/>
      <c r="N63" s="4">
        <f>B63-B50</f>
        <v>402</v>
      </c>
      <c r="O63" s="4"/>
      <c r="P63" s="4">
        <f>L63/N63*365</f>
        <v>2658.2986318407961</v>
      </c>
    </row>
    <row r="64" spans="1:19" ht="12" customHeight="1" x14ac:dyDescent="0.25">
      <c r="A64" s="48"/>
      <c r="B64" s="56">
        <v>42099</v>
      </c>
      <c r="D64" s="4">
        <v>3996.35</v>
      </c>
      <c r="E64" s="13">
        <f t="shared" si="11"/>
        <v>65</v>
      </c>
      <c r="F64" s="4">
        <f t="shared" si="12"/>
        <v>8.8218461538461543</v>
      </c>
      <c r="G64" s="4">
        <f>524+505+80</f>
        <v>1109</v>
      </c>
      <c r="H64" s="57">
        <f t="shared" si="14"/>
        <v>0.5170604147880975</v>
      </c>
      <c r="I64" s="4"/>
      <c r="J64" s="4"/>
      <c r="K64" s="4"/>
      <c r="L64" s="4">
        <f>D64-D63</f>
        <v>573.42000000000007</v>
      </c>
      <c r="M64" s="4"/>
      <c r="N64" s="4"/>
      <c r="O64" s="4"/>
      <c r="P64" s="4"/>
    </row>
    <row r="65" spans="1:16" ht="12" customHeight="1" x14ac:dyDescent="0.25">
      <c r="A65" s="48"/>
      <c r="B65" s="56">
        <v>42127</v>
      </c>
      <c r="D65" s="4">
        <v>4186.01</v>
      </c>
      <c r="E65" s="13">
        <f t="shared" si="11"/>
        <v>28</v>
      </c>
      <c r="F65" s="4">
        <f t="shared" si="12"/>
        <v>6.7735714285714392</v>
      </c>
      <c r="G65" s="4">
        <v>372</v>
      </c>
      <c r="H65" s="57">
        <f t="shared" si="14"/>
        <v>0.50983870967742018</v>
      </c>
      <c r="I65" s="4"/>
      <c r="J65" s="4"/>
      <c r="K65" s="4"/>
      <c r="L65" s="4">
        <f>D65-D64</f>
        <v>189.66000000000031</v>
      </c>
      <c r="M65" s="4"/>
      <c r="N65" s="4"/>
      <c r="O65" s="4"/>
      <c r="P65" s="4"/>
    </row>
    <row r="66" spans="1:16" ht="12" customHeight="1" x14ac:dyDescent="0.25">
      <c r="A66" s="48"/>
      <c r="B66" s="56">
        <v>42148</v>
      </c>
      <c r="D66" s="4">
        <v>4288.13</v>
      </c>
      <c r="E66" s="13">
        <f t="shared" si="11"/>
        <v>21</v>
      </c>
      <c r="F66" s="4">
        <f t="shared" si="12"/>
        <v>4.8628571428571377</v>
      </c>
      <c r="G66" s="4">
        <v>125</v>
      </c>
      <c r="H66" s="57">
        <f t="shared" si="14"/>
        <v>0.81695999999999913</v>
      </c>
      <c r="I66" s="4"/>
      <c r="J66" s="4"/>
      <c r="K66" s="4"/>
      <c r="L66" s="4">
        <f>D66-D65</f>
        <v>102.11999999999989</v>
      </c>
      <c r="M66" s="4"/>
      <c r="N66" s="4"/>
      <c r="O66" s="4"/>
      <c r="P66" s="4"/>
    </row>
    <row r="67" spans="1:16" ht="12" customHeight="1" x14ac:dyDescent="0.25">
      <c r="A67" s="56"/>
      <c r="B67" s="56">
        <v>42180</v>
      </c>
      <c r="D67" s="4">
        <v>4366.53</v>
      </c>
      <c r="E67" s="13">
        <f t="shared" si="11"/>
        <v>31</v>
      </c>
      <c r="F67" s="4">
        <f t="shared" si="12"/>
        <v>2.5290322580645044</v>
      </c>
      <c r="G67" s="4">
        <v>8</v>
      </c>
      <c r="H67" s="57">
        <f t="shared" si="14"/>
        <v>9.7999999999999545</v>
      </c>
      <c r="I67" s="4"/>
      <c r="J67" s="4"/>
      <c r="K67" s="4"/>
      <c r="L67" s="4">
        <f>D67-D66</f>
        <v>78.399999999999636</v>
      </c>
      <c r="M67" s="4"/>
      <c r="N67" s="4"/>
      <c r="O67" s="4"/>
      <c r="P67" s="4"/>
    </row>
    <row r="68" spans="1:16" ht="12" customHeight="1" x14ac:dyDescent="0.25">
      <c r="A68" s="56"/>
      <c r="B68" s="56">
        <v>42233</v>
      </c>
      <c r="D68" s="4">
        <v>4444.18</v>
      </c>
      <c r="E68" s="13">
        <f t="shared" si="11"/>
        <v>52</v>
      </c>
      <c r="F68" s="4">
        <f t="shared" si="12"/>
        <v>1.4932692307692412</v>
      </c>
      <c r="G68" s="4">
        <v>5</v>
      </c>
      <c r="H68" s="57">
        <f t="shared" si="14"/>
        <v>15.530000000000109</v>
      </c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B69" s="56">
        <v>42295</v>
      </c>
      <c r="D69" s="4">
        <v>4652.76</v>
      </c>
      <c r="E69" s="13">
        <f t="shared" si="11"/>
        <v>61</v>
      </c>
      <c r="F69" s="4">
        <f t="shared" si="12"/>
        <v>3.4193442622950809</v>
      </c>
      <c r="G69" s="4">
        <f>70+18*(17-4)</f>
        <v>304</v>
      </c>
      <c r="H69" s="57">
        <f t="shared" si="14"/>
        <v>0.68611842105263132</v>
      </c>
      <c r="I69" s="4"/>
      <c r="J69" s="4"/>
      <c r="K69" s="4"/>
      <c r="L69" s="4">
        <f>D69-D61</f>
        <v>2145.7600000000002</v>
      </c>
      <c r="M69" s="4"/>
      <c r="N69" s="4"/>
      <c r="O69" s="4"/>
      <c r="P69" s="4"/>
    </row>
    <row r="70" spans="1:16" ht="12" customHeight="1" x14ac:dyDescent="0.25">
      <c r="A70" s="48"/>
      <c r="B70" s="56">
        <v>42346</v>
      </c>
      <c r="D70" s="4">
        <v>5072.0200000000004</v>
      </c>
      <c r="E70" s="13">
        <f t="shared" si="11"/>
        <v>50</v>
      </c>
      <c r="F70" s="4">
        <f t="shared" si="12"/>
        <v>8.3852000000000046</v>
      </c>
      <c r="G70" s="4">
        <f>13.5*50</f>
        <v>675</v>
      </c>
      <c r="H70" s="57">
        <f t="shared" si="14"/>
        <v>0.6211259259259263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48"/>
      <c r="B71" s="56">
        <v>42361</v>
      </c>
      <c r="D71" s="4">
        <v>5193.0200000000004</v>
      </c>
      <c r="E71" s="13">
        <f t="shared" si="11"/>
        <v>15</v>
      </c>
      <c r="F71" s="4">
        <f t="shared" si="12"/>
        <v>8.0666666666666664</v>
      </c>
      <c r="G71" s="4">
        <f>14*15</f>
        <v>210</v>
      </c>
      <c r="H71" s="57">
        <f t="shared" si="14"/>
        <v>0.57619047619047614</v>
      </c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B72" s="56">
        <v>42442</v>
      </c>
      <c r="D72" s="4">
        <v>5511</v>
      </c>
      <c r="E72" s="13">
        <f t="shared" si="11"/>
        <v>80</v>
      </c>
      <c r="F72" s="4">
        <f t="shared" si="12"/>
        <v>3.9747499999999945</v>
      </c>
      <c r="G72" s="4">
        <f>552+969</f>
        <v>1521</v>
      </c>
      <c r="H72" s="57">
        <f t="shared" si="14"/>
        <v>0.20905982905982878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42489</v>
      </c>
      <c r="D73" s="4">
        <v>5826.24</v>
      </c>
      <c r="E73" s="13">
        <f t="shared" si="11"/>
        <v>46</v>
      </c>
      <c r="F73" s="4">
        <f t="shared" si="12"/>
        <v>6.8530434782608651</v>
      </c>
      <c r="G73" s="4">
        <f>561+376</f>
        <v>937</v>
      </c>
      <c r="H73" s="57">
        <f t="shared" si="14"/>
        <v>0.33643543223052269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B74" s="56">
        <v>42519</v>
      </c>
      <c r="D74" s="4">
        <v>5907.41</v>
      </c>
      <c r="E74" s="13">
        <f t="shared" si="11"/>
        <v>30</v>
      </c>
      <c r="F74" s="4">
        <f t="shared" si="12"/>
        <v>2.7056666666666689</v>
      </c>
      <c r="G74" s="4">
        <v>23</v>
      </c>
      <c r="H74" s="57">
        <f t="shared" si="14"/>
        <v>3.529130434782612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B75" s="56">
        <v>42552</v>
      </c>
      <c r="D75" s="4">
        <v>5970.92</v>
      </c>
      <c r="E75" s="13">
        <f t="shared" si="11"/>
        <v>32</v>
      </c>
      <c r="F75" s="4">
        <f t="shared" si="12"/>
        <v>1.9846875000000068</v>
      </c>
      <c r="G75" s="4">
        <v>37</v>
      </c>
      <c r="H75" s="57">
        <f t="shared" si="14"/>
        <v>1.7164864864864924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A76" s="56"/>
      <c r="B76" s="56">
        <v>42579</v>
      </c>
      <c r="D76" s="4">
        <v>6019</v>
      </c>
      <c r="E76" s="13">
        <f t="shared" si="11"/>
        <v>27</v>
      </c>
      <c r="F76" s="4">
        <f t="shared" si="12"/>
        <v>1.7807407407407381</v>
      </c>
      <c r="G76" s="4">
        <v>0</v>
      </c>
      <c r="H76" s="57" t="e">
        <f t="shared" si="14"/>
        <v>#DIV/0!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42594</v>
      </c>
      <c r="D77" s="4">
        <v>6034.41</v>
      </c>
      <c r="E77" s="13">
        <f t="shared" si="11"/>
        <v>14</v>
      </c>
      <c r="F77" s="4">
        <f t="shared" si="12"/>
        <v>1.1007142857142753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42617</v>
      </c>
      <c r="D78" s="4">
        <v>6072.33</v>
      </c>
      <c r="E78" s="13">
        <f t="shared" si="11"/>
        <v>22</v>
      </c>
      <c r="F78" s="4">
        <f t="shared" si="12"/>
        <v>1.723636363636367</v>
      </c>
      <c r="G78" s="4"/>
      <c r="H78" s="4"/>
      <c r="I78" s="4"/>
      <c r="J78" s="4"/>
      <c r="K78" s="4"/>
      <c r="L78" s="4">
        <f>D78-D76</f>
        <v>53.329999999999927</v>
      </c>
      <c r="M78" s="4">
        <f>L78/SUM(E77:E78)*31</f>
        <v>45.923055555555493</v>
      </c>
      <c r="N78" s="4"/>
      <c r="O78" s="4"/>
      <c r="P78" s="4"/>
    </row>
    <row r="79" spans="1:16" ht="12" customHeight="1" x14ac:dyDescent="0.25">
      <c r="B79" s="56">
        <v>42665</v>
      </c>
      <c r="D79" s="4">
        <v>6276.93</v>
      </c>
      <c r="E79" s="13">
        <f t="shared" si="11"/>
        <v>48</v>
      </c>
      <c r="F79" s="4">
        <f t="shared" si="12"/>
        <v>4.2625000000000073</v>
      </c>
      <c r="G79" s="4">
        <f>125+234</f>
        <v>359</v>
      </c>
      <c r="H79" s="57">
        <f t="shared" ref="H79:H85" si="15">(D79-D78)/G79</f>
        <v>0.56991643454039098</v>
      </c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B80" s="56">
        <v>42735</v>
      </c>
      <c r="D80" s="4">
        <v>6822.39</v>
      </c>
      <c r="E80" s="13">
        <f t="shared" si="11"/>
        <v>69</v>
      </c>
      <c r="F80" s="4">
        <f t="shared" si="12"/>
        <v>7.9052173913043484</v>
      </c>
      <c r="G80" s="4">
        <v>1172</v>
      </c>
      <c r="H80" s="57">
        <f t="shared" si="15"/>
        <v>0.46540955631399322</v>
      </c>
      <c r="I80" s="4"/>
      <c r="J80" s="4"/>
      <c r="K80" s="4"/>
      <c r="L80" s="4"/>
      <c r="M80" s="4"/>
      <c r="N80" s="4"/>
      <c r="O80" s="4"/>
      <c r="P80" s="4"/>
    </row>
    <row r="81" spans="2:16" ht="12" customHeight="1" x14ac:dyDescent="0.25">
      <c r="B81" s="56">
        <v>42749</v>
      </c>
      <c r="D81" s="4">
        <v>6850.12</v>
      </c>
      <c r="E81" s="13">
        <f t="shared" si="11"/>
        <v>14</v>
      </c>
      <c r="F81" s="4">
        <f t="shared" si="12"/>
        <v>1.9807142857142546</v>
      </c>
      <c r="G81" s="4">
        <v>363</v>
      </c>
      <c r="H81" s="57">
        <f t="shared" si="15"/>
        <v>7.639118457300155E-2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42764</v>
      </c>
      <c r="D82" s="4">
        <v>6936.34</v>
      </c>
      <c r="E82" s="13">
        <f t="shared" si="11"/>
        <v>15</v>
      </c>
      <c r="F82" s="4">
        <f t="shared" si="12"/>
        <v>5.7480000000000171</v>
      </c>
      <c r="G82" s="4">
        <v>310</v>
      </c>
      <c r="H82" s="57">
        <f t="shared" si="15"/>
        <v>0.27812903225806535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B83" s="56">
        <v>42792</v>
      </c>
      <c r="D83" s="4">
        <v>7116.25</v>
      </c>
      <c r="E83" s="13">
        <f t="shared" si="11"/>
        <v>27</v>
      </c>
      <c r="F83" s="4">
        <f t="shared" si="12"/>
        <v>6.6633333333333278</v>
      </c>
      <c r="G83" s="4">
        <v>600</v>
      </c>
      <c r="H83" s="57">
        <f t="shared" si="15"/>
        <v>0.29984999999999978</v>
      </c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3">
      <c r="B84" s="56">
        <v>42841</v>
      </c>
      <c r="D84" s="47">
        <v>7549.7</v>
      </c>
      <c r="E84" s="13">
        <f t="shared" si="11"/>
        <v>50</v>
      </c>
      <c r="F84" s="4">
        <f t="shared" si="12"/>
        <v>8.6689999999999969</v>
      </c>
      <c r="G84" s="4">
        <v>840</v>
      </c>
      <c r="H84" s="57">
        <f t="shared" si="15"/>
        <v>0.51601190476190451</v>
      </c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B85" s="56">
        <v>42862</v>
      </c>
      <c r="D85" s="4">
        <v>7682.85</v>
      </c>
      <c r="E85" s="13">
        <f t="shared" si="11"/>
        <v>21</v>
      </c>
      <c r="F85" s="4">
        <f t="shared" si="12"/>
        <v>6.3404761904762168</v>
      </c>
      <c r="G85" s="4">
        <v>230</v>
      </c>
      <c r="H85" s="57">
        <f t="shared" si="15"/>
        <v>0.57891304347826322</v>
      </c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B86" s="56">
        <v>42897</v>
      </c>
      <c r="D86" s="4">
        <v>7810.93</v>
      </c>
      <c r="E86" s="13">
        <f t="shared" si="11"/>
        <v>34</v>
      </c>
      <c r="F86" s="4">
        <f t="shared" si="12"/>
        <v>3.7670588235294096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B87" s="56">
        <v>42908</v>
      </c>
      <c r="D87" s="4">
        <v>7824.01</v>
      </c>
      <c r="E87" s="13">
        <f t="shared" si="11"/>
        <v>11</v>
      </c>
      <c r="F87" s="4">
        <f t="shared" si="12"/>
        <v>1.1890909090909025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B88" s="56">
        <v>42917</v>
      </c>
      <c r="D88" s="4">
        <v>7835.31</v>
      </c>
      <c r="E88" s="13">
        <f t="shared" si="11"/>
        <v>9</v>
      </c>
      <c r="F88" s="4">
        <f t="shared" si="12"/>
        <v>1.2555555555555757</v>
      </c>
      <c r="G88" s="4"/>
      <c r="H88" s="4"/>
      <c r="I88" s="4"/>
      <c r="J88" s="4">
        <f>D88-D75</f>
        <v>1864.3900000000003</v>
      </c>
      <c r="K88" s="4"/>
      <c r="L88" s="4"/>
      <c r="M88" s="4"/>
      <c r="N88" s="4"/>
      <c r="O88" s="4"/>
      <c r="P88" s="4"/>
    </row>
    <row r="89" spans="2:16" ht="12" customHeight="1" x14ac:dyDescent="0.25">
      <c r="B89" s="56">
        <v>42952</v>
      </c>
      <c r="D89" s="4">
        <v>7871.11</v>
      </c>
      <c r="E89" s="13">
        <f t="shared" si="11"/>
        <v>34</v>
      </c>
      <c r="F89" s="4">
        <f t="shared" si="12"/>
        <v>1.0529411764705667</v>
      </c>
      <c r="G89" s="4"/>
      <c r="H89" s="4"/>
      <c r="I89" s="4"/>
      <c r="J89" s="4">
        <f>D89-D88</f>
        <v>35.799999999999272</v>
      </c>
      <c r="K89" s="4"/>
      <c r="L89" s="4"/>
      <c r="M89" s="4"/>
      <c r="N89" s="4"/>
      <c r="O89" s="4"/>
      <c r="P89" s="4"/>
    </row>
    <row r="90" spans="2:16" ht="12" customHeight="1" x14ac:dyDescent="0.25">
      <c r="B90" s="56">
        <v>42993</v>
      </c>
      <c r="D90" s="4">
        <v>7950</v>
      </c>
      <c r="E90" s="13">
        <f t="shared" si="11"/>
        <v>40</v>
      </c>
      <c r="F90" s="4">
        <f t="shared" si="12"/>
        <v>1.9722500000000083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B91" s="56">
        <v>43015</v>
      </c>
      <c r="D91" s="4">
        <v>8045.28</v>
      </c>
      <c r="E91" s="13">
        <f t="shared" si="11"/>
        <v>22</v>
      </c>
      <c r="F91" s="4">
        <f t="shared" si="12"/>
        <v>4.3309090909090795</v>
      </c>
      <c r="G91" s="4">
        <v>160</v>
      </c>
      <c r="H91" s="57">
        <f>(D91-D90)/G91</f>
        <v>0.59549999999999836</v>
      </c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B92" s="56">
        <v>43043</v>
      </c>
      <c r="D92" s="4">
        <v>8297.17</v>
      </c>
      <c r="E92" s="13">
        <f t="shared" si="11"/>
        <v>27</v>
      </c>
      <c r="F92" s="4">
        <f t="shared" si="12"/>
        <v>9.3292592592592722</v>
      </c>
      <c r="G92" s="4">
        <v>396</v>
      </c>
      <c r="H92" s="57">
        <f>(D92-D91)/G92</f>
        <v>0.63608585858585942</v>
      </c>
      <c r="I92" s="4"/>
      <c r="J92" s="4"/>
      <c r="K92" s="4">
        <f>D92-D91</f>
        <v>251.89000000000033</v>
      </c>
      <c r="L92" s="4"/>
      <c r="M92" s="4"/>
      <c r="N92" s="4"/>
      <c r="O92" s="4"/>
      <c r="P92" s="4"/>
    </row>
    <row r="93" spans="2:16" ht="12" customHeight="1" x14ac:dyDescent="0.25">
      <c r="B93" s="56">
        <v>43100</v>
      </c>
      <c r="D93" s="4">
        <v>8857.6299999999992</v>
      </c>
      <c r="E93" s="13">
        <f t="shared" si="11"/>
        <v>57</v>
      </c>
      <c r="F93" s="4">
        <f t="shared" si="12"/>
        <v>9.8326315789473533</v>
      </c>
      <c r="G93" s="4">
        <v>1050</v>
      </c>
      <c r="H93" s="57">
        <f>(D93-D92)/G93</f>
        <v>0.53377142857142779</v>
      </c>
      <c r="I93" s="4"/>
      <c r="J93" s="4"/>
      <c r="K93" s="4">
        <f>D93-D92</f>
        <v>560.45999999999913</v>
      </c>
      <c r="L93" s="4"/>
      <c r="M93" s="4"/>
      <c r="N93" s="4">
        <f>D93-D80</f>
        <v>2035.2399999999989</v>
      </c>
      <c r="O93" s="4"/>
      <c r="P93" s="4"/>
    </row>
    <row r="94" spans="2:16" ht="12" customHeight="1" x14ac:dyDescent="0.25">
      <c r="B94" s="5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2:16" ht="12" customHeight="1" x14ac:dyDescent="0.25">
      <c r="B95" s="5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2:16" ht="12" customHeight="1" x14ac:dyDescent="0.25">
      <c r="B96" s="5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2:16" ht="12" customHeight="1" x14ac:dyDescent="0.25">
      <c r="B97" s="5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2:16" ht="12" customHeight="1" x14ac:dyDescent="0.25">
      <c r="B98" s="5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2:16" ht="12" customHeight="1" x14ac:dyDescent="0.25">
      <c r="B99" s="5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6" ht="12" customHeight="1" x14ac:dyDescent="0.25">
      <c r="B100" s="5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2:16" ht="12" customHeight="1" x14ac:dyDescent="0.25">
      <c r="B101" s="5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2:16" ht="12" customHeight="1" x14ac:dyDescent="0.25">
      <c r="B102" s="5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2:16" ht="12" customHeight="1" x14ac:dyDescent="0.25">
      <c r="B103" s="5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2:16" ht="12" customHeight="1" x14ac:dyDescent="0.25">
      <c r="B104" s="5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2:16" ht="12" customHeight="1" x14ac:dyDescent="0.25">
      <c r="B105" s="5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2:16" ht="12" customHeight="1" x14ac:dyDescent="0.25">
      <c r="B106" s="5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2:16" ht="12" customHeight="1" x14ac:dyDescent="0.25">
      <c r="B107" s="5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2:16" ht="12" customHeight="1" x14ac:dyDescent="0.25">
      <c r="B108" s="5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2:16" ht="12" customHeight="1" x14ac:dyDescent="0.25">
      <c r="B109" s="5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2:16" ht="12" customHeight="1" x14ac:dyDescent="0.25">
      <c r="B110" s="5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2:16" ht="12" customHeight="1" x14ac:dyDescent="0.25">
      <c r="B111" s="5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2:16" ht="12" customHeight="1" x14ac:dyDescent="0.25">
      <c r="B112" s="5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2:16" ht="12" customHeight="1" x14ac:dyDescent="0.25">
      <c r="B113" s="5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2:16" ht="12" customHeight="1" x14ac:dyDescent="0.25">
      <c r="B114" s="5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2:16" ht="12" customHeight="1" x14ac:dyDescent="0.25">
      <c r="B115" s="5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2:16" ht="12" customHeight="1" x14ac:dyDescent="0.25">
      <c r="B116" s="5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2:16" ht="12" customHeight="1" x14ac:dyDescent="0.25">
      <c r="B117" s="5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2:16" ht="12" customHeight="1" x14ac:dyDescent="0.25">
      <c r="B118" s="5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2:16" ht="12" customHeight="1" x14ac:dyDescent="0.25">
      <c r="B119" s="5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2:16" ht="12" customHeight="1" x14ac:dyDescent="0.25">
      <c r="B120" s="5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2:16" ht="12" customHeight="1" x14ac:dyDescent="0.25">
      <c r="B121" s="5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2:16" ht="12" customHeight="1" x14ac:dyDescent="0.25">
      <c r="B122" s="5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2:16" ht="12" customHeight="1" x14ac:dyDescent="0.25">
      <c r="B123" s="5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2:16" ht="12" customHeight="1" x14ac:dyDescent="0.25">
      <c r="B124" s="5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2:16" ht="12" customHeight="1" x14ac:dyDescent="0.25">
      <c r="B125" s="5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2:16" ht="12" customHeight="1" x14ac:dyDescent="0.25">
      <c r="B126" s="5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2:16" ht="12" customHeight="1" x14ac:dyDescent="0.25">
      <c r="B127" s="5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2:16" ht="12" customHeight="1" x14ac:dyDescent="0.25">
      <c r="B128" s="5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2:16" ht="12" customHeight="1" x14ac:dyDescent="0.25">
      <c r="B129" s="5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2:16" ht="12" customHeight="1" x14ac:dyDescent="0.25">
      <c r="B130" s="5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2:16" ht="12" customHeight="1" x14ac:dyDescent="0.25">
      <c r="B131" s="5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2:16" ht="12" customHeight="1" x14ac:dyDescent="0.25">
      <c r="B132" s="5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 ht="12" customHeight="1" x14ac:dyDescent="0.25">
      <c r="B133" s="5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 ht="12" customHeight="1" x14ac:dyDescent="0.25">
      <c r="B134" s="5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 ht="12" customHeight="1" x14ac:dyDescent="0.25">
      <c r="B135" s="5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 ht="12" customHeight="1" x14ac:dyDescent="0.25">
      <c r="B136" s="5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 ht="12" customHeight="1" x14ac:dyDescent="0.25">
      <c r="B137" s="5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 ht="12" customHeight="1" x14ac:dyDescent="0.25">
      <c r="B138" s="5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 ht="12" customHeight="1" x14ac:dyDescent="0.25">
      <c r="B139" s="5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 ht="12" customHeight="1" x14ac:dyDescent="0.25">
      <c r="B140" s="5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 ht="12" customHeight="1" x14ac:dyDescent="0.25">
      <c r="B141" s="5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 ht="12" customHeight="1" x14ac:dyDescent="0.25">
      <c r="B142" s="5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 ht="12" customHeight="1" x14ac:dyDescent="0.25">
      <c r="B143" s="5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 ht="12" customHeight="1" x14ac:dyDescent="0.25">
      <c r="B144" s="5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 ht="12" customHeight="1" x14ac:dyDescent="0.25">
      <c r="B145" s="5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5:M55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0"/>
  <sheetViews>
    <sheetView zoomScaleNormal="100" workbookViewId="0">
      <selection activeCell="P11" sqref="P11:P17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5" width="8.6640625" customWidth="1"/>
    <col min="26" max="26" width="14.6640625" customWidth="1"/>
    <col min="27" max="29" width="8.6640625" customWidth="1"/>
  </cols>
  <sheetData>
    <row r="1" spans="1:29" ht="12" customHeight="1" x14ac:dyDescent="0.3">
      <c r="A1" s="2" t="s">
        <v>0</v>
      </c>
      <c r="D1" s="3">
        <v>2016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61"/>
      <c r="S1" s="62"/>
    </row>
    <row r="2" spans="1:29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2"/>
      <c r="P2" s="4"/>
      <c r="Q2" s="8"/>
      <c r="R2" s="60"/>
    </row>
    <row r="3" spans="1:29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13.5</v>
      </c>
      <c r="L3" s="11" t="s">
        <v>5</v>
      </c>
      <c r="M3" s="4"/>
      <c r="N3" s="4"/>
      <c r="O3" s="32"/>
      <c r="P3" s="4"/>
      <c r="Q3" s="8"/>
    </row>
    <row r="4" spans="1:29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SUM(I11:K11)/92</f>
        <v>13.206521739130435</v>
      </c>
      <c r="L4" s="11" t="s">
        <v>5</v>
      </c>
      <c r="M4" s="11"/>
      <c r="N4" s="11"/>
      <c r="O4" s="64"/>
      <c r="P4" s="11"/>
    </row>
    <row r="5" spans="1:29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9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ht="21" customHeight="1" x14ac:dyDescent="0.25">
      <c r="A8" s="25">
        <v>2016</v>
      </c>
      <c r="B8" s="26" t="s">
        <v>23</v>
      </c>
      <c r="C8" s="30" t="s">
        <v>65</v>
      </c>
      <c r="D8" s="28">
        <v>-13.9</v>
      </c>
      <c r="E8" s="28">
        <v>-2.2999999999999998</v>
      </c>
      <c r="F8" s="28">
        <v>-2.2000000000000002</v>
      </c>
      <c r="G8" s="28">
        <v>3.32</v>
      </c>
      <c r="H8" s="28">
        <v>13.71</v>
      </c>
      <c r="I8" s="28">
        <v>15.1</v>
      </c>
      <c r="J8" s="28">
        <v>17.100000000000001</v>
      </c>
      <c r="K8" s="28">
        <v>15.4</v>
      </c>
      <c r="L8" s="28">
        <v>11.5</v>
      </c>
      <c r="M8" s="28">
        <v>3.6</v>
      </c>
      <c r="N8" s="28">
        <v>-2.4</v>
      </c>
      <c r="O8" s="28">
        <v>-2.6</v>
      </c>
      <c r="P8" s="28">
        <f>AVERAGE(D8:O8)</f>
        <v>4.6941666666666668</v>
      </c>
      <c r="T8" s="29"/>
      <c r="U8" s="8"/>
      <c r="Z8" s="83"/>
      <c r="AA8" s="83"/>
    </row>
    <row r="9" spans="1:29" ht="12" customHeight="1" x14ac:dyDescent="0.25">
      <c r="A9" s="25">
        <v>2016</v>
      </c>
      <c r="B9" s="26" t="s">
        <v>67</v>
      </c>
      <c r="C9" s="30" t="s">
        <v>26</v>
      </c>
      <c r="D9" s="31">
        <v>1977.55</v>
      </c>
      <c r="E9" s="31">
        <v>1085.82</v>
      </c>
      <c r="F9" s="31">
        <v>1036.4000000000001</v>
      </c>
      <c r="G9" s="31">
        <v>690.63</v>
      </c>
      <c r="H9" s="31">
        <v>412.44</v>
      </c>
      <c r="I9" s="31">
        <v>394</v>
      </c>
      <c r="J9" s="31">
        <v>383</v>
      </c>
      <c r="K9" s="32">
        <f>243+76+119</f>
        <v>438</v>
      </c>
      <c r="L9" s="32">
        <v>498</v>
      </c>
      <c r="M9" s="32">
        <v>792</v>
      </c>
      <c r="N9" s="32">
        <v>1184</v>
      </c>
      <c r="O9" s="32">
        <v>1270</v>
      </c>
      <c r="P9" s="32">
        <f>SUM(D9:O9)</f>
        <v>10161.84</v>
      </c>
      <c r="Q9" s="34"/>
      <c r="S9" s="35"/>
      <c r="T9" s="36"/>
      <c r="U9" s="34"/>
      <c r="W9" s="35"/>
      <c r="Z9" s="37"/>
      <c r="AB9" s="37"/>
      <c r="AC9" s="37"/>
    </row>
    <row r="10" spans="1:29" ht="12" customHeight="1" x14ac:dyDescent="0.25">
      <c r="A10" s="25">
        <v>2016</v>
      </c>
      <c r="B10" s="26" t="s">
        <v>68</v>
      </c>
      <c r="C10" s="30" t="s">
        <v>26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>
        <f>SUM(D10:O10)</f>
        <v>0</v>
      </c>
      <c r="Q10" s="34"/>
      <c r="S10" s="35"/>
      <c r="T10" s="36"/>
      <c r="U10" s="34"/>
      <c r="W10" s="35"/>
      <c r="Z10" s="37"/>
      <c r="AB10" s="37"/>
      <c r="AC10" s="37"/>
    </row>
    <row r="11" spans="1:29" ht="12" customHeight="1" x14ac:dyDescent="0.25">
      <c r="A11" s="25">
        <v>2016</v>
      </c>
      <c r="B11" s="26" t="s">
        <v>25</v>
      </c>
      <c r="C11" s="30" t="s">
        <v>26</v>
      </c>
      <c r="D11" s="32">
        <f t="shared" ref="D11:O11" si="0">SUM(D9:D10)</f>
        <v>1977.55</v>
      </c>
      <c r="E11" s="32">
        <f t="shared" si="0"/>
        <v>1085.82</v>
      </c>
      <c r="F11" s="32">
        <f t="shared" si="0"/>
        <v>1036.4000000000001</v>
      </c>
      <c r="G11" s="32">
        <f t="shared" si="0"/>
        <v>690.63</v>
      </c>
      <c r="H11" s="32">
        <f t="shared" si="0"/>
        <v>412.44</v>
      </c>
      <c r="I11" s="32">
        <f t="shared" si="0"/>
        <v>394</v>
      </c>
      <c r="J11" s="32">
        <f t="shared" si="0"/>
        <v>383</v>
      </c>
      <c r="K11" s="32">
        <f t="shared" si="0"/>
        <v>438</v>
      </c>
      <c r="L11" s="32">
        <f t="shared" si="0"/>
        <v>498</v>
      </c>
      <c r="M11" s="32">
        <f t="shared" si="0"/>
        <v>792</v>
      </c>
      <c r="N11" s="32">
        <f t="shared" si="0"/>
        <v>1184</v>
      </c>
      <c r="O11" s="32">
        <f t="shared" si="0"/>
        <v>1270</v>
      </c>
      <c r="P11" s="33">
        <f>SUM(D11:O11)</f>
        <v>10161.84</v>
      </c>
      <c r="Q11" s="34"/>
      <c r="S11" s="35"/>
      <c r="T11" s="36"/>
      <c r="U11" s="34"/>
      <c r="Z11" s="37"/>
      <c r="AB11" s="37"/>
    </row>
    <row r="12" spans="1:29" ht="12" customHeight="1" x14ac:dyDescent="0.25">
      <c r="A12" s="25">
        <v>2016</v>
      </c>
      <c r="B12" s="26" t="s">
        <v>28</v>
      </c>
      <c r="C12" s="30" t="s">
        <v>26</v>
      </c>
      <c r="D12" s="43">
        <f>0.2*D13</f>
        <v>193.8</v>
      </c>
      <c r="E12" s="43">
        <v>200</v>
      </c>
      <c r="F12" s="43">
        <f>0.3*F13</f>
        <v>168.29999999999998</v>
      </c>
      <c r="G12" s="43">
        <f>0.2*G13</f>
        <v>75.2</v>
      </c>
      <c r="H12" s="43">
        <v>81</v>
      </c>
      <c r="I12" s="43">
        <v>63.5</v>
      </c>
      <c r="J12" s="32">
        <v>48</v>
      </c>
      <c r="K12" s="43">
        <v>46</v>
      </c>
      <c r="L12" s="43">
        <v>60</v>
      </c>
      <c r="M12" s="43">
        <f>0.5*M13</f>
        <v>207.5</v>
      </c>
      <c r="N12" s="43">
        <f>0.5*N13</f>
        <v>291</v>
      </c>
      <c r="O12" s="43">
        <f>0.465*O13</f>
        <v>283.185</v>
      </c>
      <c r="P12" s="43">
        <f>SUM(D12:O12)</f>
        <v>1717.4850000000001</v>
      </c>
      <c r="Q12" s="34"/>
      <c r="R12" s="35"/>
      <c r="T12" s="36"/>
      <c r="U12" s="34"/>
      <c r="V12" s="35"/>
    </row>
    <row r="13" spans="1:29" ht="12" customHeight="1" x14ac:dyDescent="0.25">
      <c r="A13" s="25">
        <v>2016</v>
      </c>
      <c r="B13" s="40" t="s">
        <v>29</v>
      </c>
      <c r="C13" s="30" t="s">
        <v>66</v>
      </c>
      <c r="D13" s="32">
        <v>969</v>
      </c>
      <c r="E13" s="32">
        <v>552</v>
      </c>
      <c r="F13" s="32">
        <v>561</v>
      </c>
      <c r="G13" s="32">
        <v>376</v>
      </c>
      <c r="H13" s="32">
        <v>23</v>
      </c>
      <c r="I13" s="32">
        <v>37</v>
      </c>
      <c r="J13" s="32">
        <v>6</v>
      </c>
      <c r="K13" s="32">
        <v>12</v>
      </c>
      <c r="L13" s="32">
        <v>125</v>
      </c>
      <c r="M13" s="32">
        <v>415</v>
      </c>
      <c r="N13" s="32">
        <v>582</v>
      </c>
      <c r="O13" s="32">
        <v>609</v>
      </c>
      <c r="P13" s="32">
        <f>SUM(D13:O13)</f>
        <v>4267</v>
      </c>
      <c r="Q13" s="42"/>
      <c r="R13" s="42"/>
      <c r="S13" s="35"/>
      <c r="T13" s="36"/>
      <c r="U13" s="34"/>
      <c r="V13" s="35"/>
    </row>
    <row r="14" spans="1:29" ht="12" customHeight="1" x14ac:dyDescent="0.25">
      <c r="A14" s="25">
        <v>2016</v>
      </c>
      <c r="B14" s="40" t="s">
        <v>31</v>
      </c>
      <c r="C14" s="30" t="s">
        <v>66</v>
      </c>
      <c r="D14" s="32">
        <v>759</v>
      </c>
      <c r="E14" s="32">
        <v>699</v>
      </c>
      <c r="F14" s="32">
        <v>621</v>
      </c>
      <c r="G14" s="32">
        <v>403</v>
      </c>
      <c r="H14" s="32">
        <v>165</v>
      </c>
      <c r="I14" s="32">
        <v>22</v>
      </c>
      <c r="J14" s="32">
        <v>5</v>
      </c>
      <c r="K14" s="32">
        <v>28</v>
      </c>
      <c r="L14" s="32">
        <v>184</v>
      </c>
      <c r="M14" s="32">
        <v>386</v>
      </c>
      <c r="N14" s="32">
        <v>546</v>
      </c>
      <c r="O14" s="32">
        <v>692</v>
      </c>
      <c r="P14" s="32">
        <v>4510</v>
      </c>
      <c r="R14" s="42"/>
      <c r="T14" s="36"/>
      <c r="U14" s="34"/>
      <c r="V14" s="34"/>
    </row>
    <row r="15" spans="1:29" ht="12" customHeight="1" x14ac:dyDescent="0.25">
      <c r="A15" s="25">
        <v>2016</v>
      </c>
      <c r="B15" s="26" t="s">
        <v>32</v>
      </c>
      <c r="C15" s="30" t="s">
        <v>26</v>
      </c>
      <c r="D15" s="32">
        <f t="shared" ref="D15:O15" si="1">$K$3*D7</f>
        <v>418.5</v>
      </c>
      <c r="E15" s="32">
        <f t="shared" si="1"/>
        <v>378</v>
      </c>
      <c r="F15" s="32">
        <f t="shared" si="1"/>
        <v>418.5</v>
      </c>
      <c r="G15" s="32">
        <f t="shared" si="1"/>
        <v>405</v>
      </c>
      <c r="H15" s="32">
        <f t="shared" si="1"/>
        <v>418.5</v>
      </c>
      <c r="I15" s="32">
        <f t="shared" si="1"/>
        <v>405</v>
      </c>
      <c r="J15" s="32">
        <f t="shared" si="1"/>
        <v>418.5</v>
      </c>
      <c r="K15" s="32">
        <f t="shared" si="1"/>
        <v>418.5</v>
      </c>
      <c r="L15" s="32">
        <f t="shared" si="1"/>
        <v>405</v>
      </c>
      <c r="M15" s="32">
        <f t="shared" si="1"/>
        <v>418.5</v>
      </c>
      <c r="N15" s="32">
        <f t="shared" si="1"/>
        <v>405</v>
      </c>
      <c r="O15" s="32">
        <f t="shared" si="1"/>
        <v>418.5</v>
      </c>
      <c r="P15" s="32">
        <f>SUM(D15:O15)</f>
        <v>4927.5</v>
      </c>
      <c r="T15" s="36"/>
      <c r="U15" s="34"/>
    </row>
    <row r="16" spans="1:29" ht="12" customHeight="1" x14ac:dyDescent="0.25">
      <c r="A16" s="25">
        <v>2016</v>
      </c>
      <c r="B16" s="26" t="s">
        <v>33</v>
      </c>
      <c r="C16" s="30" t="s">
        <v>26</v>
      </c>
      <c r="D16" s="32">
        <f>D11-D15</f>
        <v>1559.05</v>
      </c>
      <c r="E16" s="32">
        <f>E11-E15</f>
        <v>707.81999999999994</v>
      </c>
      <c r="F16" s="32">
        <f>F11-F15</f>
        <v>617.90000000000009</v>
      </c>
      <c r="G16" s="32">
        <f>G11-G15</f>
        <v>285.63</v>
      </c>
      <c r="H16" s="43">
        <v>81</v>
      </c>
      <c r="I16" s="43">
        <v>78</v>
      </c>
      <c r="J16" s="32">
        <v>40</v>
      </c>
      <c r="K16" s="32">
        <v>30</v>
      </c>
      <c r="L16" s="32">
        <f>L11-L15</f>
        <v>93</v>
      </c>
      <c r="M16" s="32">
        <f>M11-M15</f>
        <v>373.5</v>
      </c>
      <c r="N16" s="32">
        <f>N11-N15</f>
        <v>779</v>
      </c>
      <c r="O16" s="32">
        <f>O11-O15</f>
        <v>851.5</v>
      </c>
      <c r="P16" s="32">
        <f>SUM(D16:O16)</f>
        <v>5496.4</v>
      </c>
      <c r="R16" s="35"/>
      <c r="T16" s="36"/>
      <c r="U16" s="34"/>
    </row>
    <row r="17" spans="1:29" ht="12" customHeight="1" x14ac:dyDescent="0.25">
      <c r="A17" s="25">
        <v>2016</v>
      </c>
      <c r="B17" s="26" t="s">
        <v>34</v>
      </c>
      <c r="C17" s="30" t="s">
        <v>26</v>
      </c>
      <c r="D17" s="32">
        <f>IF(D16&lt;0,0,((D14/D13))*D16)</f>
        <v>1221.1753869969041</v>
      </c>
      <c r="E17" s="32">
        <f>IF(E16&lt;0,0,((E14/E13))*E16)</f>
        <v>896.31554347826079</v>
      </c>
      <c r="F17" s="32">
        <f>IF(F16&lt;0,0,((F14/F13))*F16)</f>
        <v>683.98556149732633</v>
      </c>
      <c r="G17" s="32">
        <f>IF(G16&lt;0,0,((G14/G13))*G16)</f>
        <v>306.14066489361704</v>
      </c>
      <c r="H17" s="32">
        <v>81</v>
      </c>
      <c r="I17" s="32">
        <f>I16</f>
        <v>78</v>
      </c>
      <c r="J17" s="32">
        <f>J16</f>
        <v>40</v>
      </c>
      <c r="K17" s="32">
        <f>K16</f>
        <v>30</v>
      </c>
      <c r="L17" s="32">
        <f>IF(L16&lt;0,0,((L14/L13))*L16)</f>
        <v>136.89599999999999</v>
      </c>
      <c r="M17" s="32">
        <f>IF(M16&lt;0,0,((M14/M13))*M16)</f>
        <v>347.4</v>
      </c>
      <c r="N17" s="32">
        <f>IF(N16&lt;0,0,((N14/N13))*N16)</f>
        <v>730.81443298969077</v>
      </c>
      <c r="O17" s="32">
        <f>IF(O16&lt;0,0,((O14/O13))*O16)</f>
        <v>967.5500821018062</v>
      </c>
      <c r="P17" s="33">
        <f>SUM(D17:O17)</f>
        <v>5519.277671957605</v>
      </c>
      <c r="Q17" s="44"/>
      <c r="R17" s="45">
        <f>P16-P12</f>
        <v>3778.9149999999995</v>
      </c>
      <c r="T17" s="36"/>
      <c r="U17" s="34"/>
    </row>
    <row r="18" spans="1:29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9" ht="12" customHeight="1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29" ht="12" customHeight="1" x14ac:dyDescent="0.25">
      <c r="A20" s="9" t="s">
        <v>35</v>
      </c>
      <c r="B20" s="10"/>
      <c r="C20" s="9" t="s">
        <v>5</v>
      </c>
      <c r="D20" s="4">
        <f t="shared" ref="D20:O20" si="2">D11/D7</f>
        <v>63.791935483870965</v>
      </c>
      <c r="E20" s="4">
        <f t="shared" si="2"/>
        <v>38.779285714285713</v>
      </c>
      <c r="F20" s="4">
        <f t="shared" si="2"/>
        <v>33.432258064516134</v>
      </c>
      <c r="G20" s="4">
        <f t="shared" si="2"/>
        <v>23.021000000000001</v>
      </c>
      <c r="H20" s="4">
        <f t="shared" si="2"/>
        <v>13.304516129032258</v>
      </c>
      <c r="I20" s="4">
        <f t="shared" si="2"/>
        <v>13.133333333333333</v>
      </c>
      <c r="J20" s="4">
        <f t="shared" si="2"/>
        <v>12.35483870967742</v>
      </c>
      <c r="K20" s="4">
        <f t="shared" si="2"/>
        <v>14.129032258064516</v>
      </c>
      <c r="L20" s="4">
        <f t="shared" si="2"/>
        <v>16.600000000000001</v>
      </c>
      <c r="M20" s="4">
        <f t="shared" si="2"/>
        <v>25.548387096774192</v>
      </c>
      <c r="N20" s="4">
        <f t="shared" si="2"/>
        <v>39.466666666666669</v>
      </c>
      <c r="O20" s="4">
        <f t="shared" si="2"/>
        <v>40.967741935483872</v>
      </c>
      <c r="P20" s="4">
        <f>P10/365</f>
        <v>0</v>
      </c>
    </row>
    <row r="21" spans="1:29" ht="12" customHeight="1" x14ac:dyDescent="0.3">
      <c r="A21" s="10"/>
      <c r="B21" s="47" t="s">
        <v>36</v>
      </c>
      <c r="C21" s="11" t="s">
        <v>26</v>
      </c>
      <c r="D21" s="4">
        <f>SUM(D11)</f>
        <v>1977.55</v>
      </c>
      <c r="E21" s="4">
        <f>SUM($D$11:E11)</f>
        <v>3063.37</v>
      </c>
      <c r="F21" s="4">
        <f>SUM($D$11:F11)</f>
        <v>4099.7700000000004</v>
      </c>
      <c r="G21" s="4">
        <f>SUM($D$11:G11)</f>
        <v>4790.4000000000005</v>
      </c>
      <c r="H21" s="4">
        <f>SUM($D$11:H11)</f>
        <v>5202.84</v>
      </c>
      <c r="I21" s="4">
        <f>SUM($D$11:I11)</f>
        <v>5596.84</v>
      </c>
      <c r="J21" s="4">
        <f>SUM($D$11:J11)</f>
        <v>5979.84</v>
      </c>
      <c r="K21" s="4">
        <f>SUM($D$11:K11)</f>
        <v>6417.84</v>
      </c>
      <c r="L21" s="4">
        <f>SUM($D$11:L11)</f>
        <v>6915.84</v>
      </c>
      <c r="M21" s="4">
        <f>SUM($D$11:M11)</f>
        <v>7707.84</v>
      </c>
      <c r="N21" s="4">
        <f>SUM($D$11:N11)</f>
        <v>8891.84</v>
      </c>
      <c r="O21" s="4">
        <f>SUM($D$11:O11)</f>
        <v>10161.84</v>
      </c>
      <c r="P21" s="4"/>
    </row>
    <row r="22" spans="1:29" ht="12" customHeight="1" x14ac:dyDescent="0.3">
      <c r="A22" s="10"/>
      <c r="B22" s="47" t="s">
        <v>37</v>
      </c>
      <c r="C22" s="11" t="s">
        <v>26</v>
      </c>
      <c r="D22" s="4">
        <f>SUM(D12)</f>
        <v>193.8</v>
      </c>
      <c r="E22" s="4">
        <f>SUM($D$12:E12)</f>
        <v>393.8</v>
      </c>
      <c r="F22" s="4">
        <f>SUM($D$12:F12)</f>
        <v>562.1</v>
      </c>
      <c r="G22" s="4">
        <f>SUM($D$12:G12)</f>
        <v>637.30000000000007</v>
      </c>
      <c r="H22" s="4">
        <f>SUM($D$12:H12)</f>
        <v>718.30000000000007</v>
      </c>
      <c r="I22" s="4">
        <f>SUM($D$12:I12)</f>
        <v>781.80000000000007</v>
      </c>
      <c r="J22" s="4">
        <f>SUM($D$12:J12)</f>
        <v>829.80000000000007</v>
      </c>
      <c r="K22" s="4">
        <f>SUM($D$12:K12)</f>
        <v>875.80000000000007</v>
      </c>
      <c r="L22" s="4">
        <f>SUM($D$12:L12)</f>
        <v>935.80000000000007</v>
      </c>
      <c r="M22" s="4">
        <f>SUM($D$12:M12)</f>
        <v>1143.3000000000002</v>
      </c>
      <c r="N22" s="4">
        <f>SUM($D$12:N12)</f>
        <v>1434.3000000000002</v>
      </c>
      <c r="O22" s="4">
        <f>SUM($D$12:O12)</f>
        <v>1717.4850000000001</v>
      </c>
      <c r="P22" s="4"/>
      <c r="R22" s="36"/>
    </row>
    <row r="23" spans="1:29" ht="12" customHeight="1" x14ac:dyDescent="0.3">
      <c r="A23" s="10"/>
      <c r="B23" s="47" t="s">
        <v>38</v>
      </c>
      <c r="C23" s="11" t="s">
        <v>26</v>
      </c>
      <c r="D23" s="4">
        <f>SUM(D16)</f>
        <v>1559.05</v>
      </c>
      <c r="E23" s="4">
        <f>SUM($D$16:E16)</f>
        <v>2266.87</v>
      </c>
      <c r="F23" s="4">
        <f>SUM($D$16:F16)</f>
        <v>2884.77</v>
      </c>
      <c r="G23" s="4">
        <f>SUM($D$16:G16)</f>
        <v>3170.4</v>
      </c>
      <c r="H23" s="4">
        <f>SUM($D$16:H16)</f>
        <v>3251.4</v>
      </c>
      <c r="I23" s="4">
        <f>SUM($D$16:I16)</f>
        <v>3329.4</v>
      </c>
      <c r="J23" s="4">
        <f>SUM($D$16:J16)</f>
        <v>3369.4</v>
      </c>
      <c r="K23" s="4">
        <f>SUM($D$16:K16)</f>
        <v>3399.4</v>
      </c>
      <c r="L23" s="4">
        <f>SUM($D$16:L16)</f>
        <v>3492.4</v>
      </c>
      <c r="M23" s="4">
        <f>SUM($D$16:M16)</f>
        <v>3865.9</v>
      </c>
      <c r="N23" s="4">
        <f>SUM($D$16:N16)</f>
        <v>4644.8999999999996</v>
      </c>
      <c r="O23" s="4">
        <f>SUM($D$16:O16)</f>
        <v>5496.4</v>
      </c>
      <c r="P23" s="4"/>
      <c r="R23" s="36"/>
      <c r="S23" s="48"/>
    </row>
    <row r="24" spans="1:29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/>
      <c r="S24" s="48"/>
    </row>
    <row r="25" spans="1:29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14"/>
      <c r="U25" s="50"/>
      <c r="V25" s="34"/>
    </row>
    <row r="26" spans="1:29" ht="12" customHeight="1" x14ac:dyDescent="0.25">
      <c r="A26" s="9"/>
      <c r="B26" s="9" t="s">
        <v>40</v>
      </c>
      <c r="C26" s="9"/>
      <c r="D26" s="51">
        <f t="shared" ref="D26:P26" si="3">D16/D11</f>
        <v>0.78837450380521357</v>
      </c>
      <c r="E26" s="51">
        <f t="shared" si="3"/>
        <v>0.6518760015472177</v>
      </c>
      <c r="F26" s="51">
        <f t="shared" si="3"/>
        <v>0.59619837900424555</v>
      </c>
      <c r="G26" s="51">
        <f t="shared" si="3"/>
        <v>0.41357890621606358</v>
      </c>
      <c r="H26" s="51">
        <f t="shared" si="3"/>
        <v>0.19639220250218214</v>
      </c>
      <c r="I26" s="51">
        <f t="shared" si="3"/>
        <v>0.19796954314720813</v>
      </c>
      <c r="J26" s="51">
        <f t="shared" si="3"/>
        <v>0.10443864229765012</v>
      </c>
      <c r="K26" s="51">
        <f t="shared" si="3"/>
        <v>6.8493150684931503E-2</v>
      </c>
      <c r="L26" s="51">
        <f t="shared" si="3"/>
        <v>0.18674698795180722</v>
      </c>
      <c r="M26" s="51">
        <f t="shared" si="3"/>
        <v>0.47159090909090912</v>
      </c>
      <c r="N26" s="51">
        <f t="shared" si="3"/>
        <v>0.65793918918918914</v>
      </c>
      <c r="O26" s="51">
        <f t="shared" si="3"/>
        <v>0.6704724409448819</v>
      </c>
      <c r="P26" s="51">
        <f t="shared" si="3"/>
        <v>0.54088629618258111</v>
      </c>
      <c r="Q26" s="34"/>
      <c r="R26" s="34"/>
      <c r="S26" s="34"/>
      <c r="T26" s="34"/>
      <c r="U26" s="34"/>
      <c r="V26" s="34"/>
      <c r="W26" s="9"/>
      <c r="X26" s="9"/>
      <c r="Y26" s="9"/>
      <c r="Z26" s="9"/>
      <c r="AA26" s="9"/>
      <c r="AB26" s="9"/>
      <c r="AC26" s="9"/>
    </row>
    <row r="27" spans="1:29" ht="12" customHeight="1" x14ac:dyDescent="0.3">
      <c r="B27" s="47" t="s">
        <v>41</v>
      </c>
      <c r="C27" s="9" t="s">
        <v>42</v>
      </c>
      <c r="D27" s="4">
        <f t="shared" ref="D27:P27" si="4">D16/D13</f>
        <v>1.6089267285861713</v>
      </c>
      <c r="E27" s="4">
        <f t="shared" si="4"/>
        <v>1.282282608695652</v>
      </c>
      <c r="F27" s="4">
        <f t="shared" si="4"/>
        <v>1.1014260249554368</v>
      </c>
      <c r="G27" s="4">
        <f t="shared" si="4"/>
        <v>0.75965425531914887</v>
      </c>
      <c r="H27" s="4">
        <f t="shared" si="4"/>
        <v>3.5217391304347827</v>
      </c>
      <c r="I27" s="4">
        <f t="shared" si="4"/>
        <v>2.1081081081081079</v>
      </c>
      <c r="J27" s="4">
        <f t="shared" si="4"/>
        <v>6.666666666666667</v>
      </c>
      <c r="K27" s="4">
        <f t="shared" si="4"/>
        <v>2.5</v>
      </c>
      <c r="L27" s="4">
        <f t="shared" si="4"/>
        <v>0.74399999999999999</v>
      </c>
      <c r="M27" s="4">
        <f t="shared" si="4"/>
        <v>0.9</v>
      </c>
      <c r="N27" s="4">
        <f t="shared" si="4"/>
        <v>1.338487972508591</v>
      </c>
      <c r="O27" s="4">
        <f t="shared" si="4"/>
        <v>1.3981937602627257</v>
      </c>
      <c r="P27" s="4">
        <f t="shared" si="4"/>
        <v>1.2881181157722053</v>
      </c>
      <c r="T27" s="36"/>
      <c r="U27" s="14"/>
    </row>
    <row r="28" spans="1:29" ht="12" customHeight="1" x14ac:dyDescent="0.3">
      <c r="B28" s="47" t="s">
        <v>41</v>
      </c>
      <c r="C28" s="11" t="s">
        <v>5</v>
      </c>
      <c r="D28" s="4">
        <f t="shared" ref="D28:P28" si="5">D16/D7</f>
        <v>50.291935483870965</v>
      </c>
      <c r="E28" s="4">
        <f t="shared" si="5"/>
        <v>25.279285714285713</v>
      </c>
      <c r="F28" s="4">
        <f t="shared" si="5"/>
        <v>19.93225806451613</v>
      </c>
      <c r="G28" s="4">
        <f t="shared" si="5"/>
        <v>9.520999999999999</v>
      </c>
      <c r="H28" s="4">
        <f t="shared" si="5"/>
        <v>2.6129032258064515</v>
      </c>
      <c r="I28" s="4">
        <f t="shared" si="5"/>
        <v>2.6</v>
      </c>
      <c r="J28" s="4">
        <f t="shared" si="5"/>
        <v>1.2903225806451613</v>
      </c>
      <c r="K28" s="4">
        <f t="shared" si="5"/>
        <v>0.967741935483871</v>
      </c>
      <c r="L28" s="4">
        <f t="shared" si="5"/>
        <v>3.1</v>
      </c>
      <c r="M28" s="4">
        <f t="shared" si="5"/>
        <v>12.048387096774194</v>
      </c>
      <c r="N28" s="4">
        <f t="shared" si="5"/>
        <v>25.966666666666665</v>
      </c>
      <c r="O28" s="4">
        <f t="shared" si="5"/>
        <v>27.467741935483872</v>
      </c>
      <c r="P28" s="4">
        <f t="shared" si="5"/>
        <v>15.0586301369863</v>
      </c>
      <c r="S28" s="36"/>
      <c r="T28" s="52"/>
      <c r="U28" s="34"/>
    </row>
    <row r="29" spans="1:29" ht="12" customHeight="1" x14ac:dyDescent="0.3">
      <c r="B29" s="47" t="s">
        <v>43</v>
      </c>
      <c r="C29" s="11" t="s">
        <v>5</v>
      </c>
      <c r="D29" s="4">
        <f t="shared" ref="D29:P29" si="6">D17/D7</f>
        <v>39.39275441925497</v>
      </c>
      <c r="E29" s="4">
        <f t="shared" si="6"/>
        <v>32.011269409937888</v>
      </c>
      <c r="F29" s="4">
        <f t="shared" si="6"/>
        <v>22.064050370881496</v>
      </c>
      <c r="G29" s="4">
        <f t="shared" si="6"/>
        <v>10.204688829787235</v>
      </c>
      <c r="H29" s="4">
        <f t="shared" si="6"/>
        <v>2.6129032258064515</v>
      </c>
      <c r="I29" s="4">
        <f t="shared" si="6"/>
        <v>2.6</v>
      </c>
      <c r="J29" s="4">
        <f t="shared" si="6"/>
        <v>1.2903225806451613</v>
      </c>
      <c r="K29" s="4">
        <f t="shared" si="6"/>
        <v>0.967741935483871</v>
      </c>
      <c r="L29" s="4">
        <f t="shared" si="6"/>
        <v>4.5631999999999993</v>
      </c>
      <c r="M29" s="4">
        <f t="shared" si="6"/>
        <v>11.206451612903225</v>
      </c>
      <c r="N29" s="4">
        <f t="shared" si="6"/>
        <v>24.360481099656358</v>
      </c>
      <c r="O29" s="4">
        <f t="shared" si="6"/>
        <v>31.211292971026005</v>
      </c>
      <c r="P29" s="4">
        <f t="shared" si="6"/>
        <v>15.121308690294809</v>
      </c>
      <c r="U29" s="34"/>
    </row>
    <row r="30" spans="1:29" ht="12" customHeight="1" x14ac:dyDescent="0.3">
      <c r="B30" s="47" t="s">
        <v>44</v>
      </c>
      <c r="C30" s="47" t="s">
        <v>45</v>
      </c>
      <c r="D30" s="4">
        <f t="shared" ref="D30:P30" si="7">D16/$F$4</f>
        <v>5.6242784992784998</v>
      </c>
      <c r="E30" s="4">
        <f t="shared" si="7"/>
        <v>2.5534632034632034</v>
      </c>
      <c r="F30" s="4">
        <f t="shared" si="7"/>
        <v>2.2290764790764794</v>
      </c>
      <c r="G30" s="4">
        <f t="shared" si="7"/>
        <v>1.0304112554112554</v>
      </c>
      <c r="H30" s="4">
        <f t="shared" si="7"/>
        <v>0.29220779220779219</v>
      </c>
      <c r="I30" s="4">
        <f t="shared" si="7"/>
        <v>0.2813852813852814</v>
      </c>
      <c r="J30" s="4">
        <f t="shared" si="7"/>
        <v>0.14430014430014432</v>
      </c>
      <c r="K30" s="4">
        <f t="shared" si="7"/>
        <v>0.10822510822510822</v>
      </c>
      <c r="L30" s="4">
        <f t="shared" si="7"/>
        <v>0.33549783549783552</v>
      </c>
      <c r="M30" s="4">
        <f t="shared" si="7"/>
        <v>1.3474025974025974</v>
      </c>
      <c r="N30" s="4">
        <f t="shared" si="7"/>
        <v>2.8102453102453104</v>
      </c>
      <c r="O30" s="4">
        <f t="shared" si="7"/>
        <v>3.0717893217893217</v>
      </c>
      <c r="P30" s="4">
        <f t="shared" si="7"/>
        <v>19.828282828282827</v>
      </c>
      <c r="U30" s="34"/>
    </row>
    <row r="31" spans="1:29" ht="12" customHeight="1" x14ac:dyDescent="0.3">
      <c r="B31" s="47" t="s">
        <v>44</v>
      </c>
      <c r="C31" s="47" t="s">
        <v>46</v>
      </c>
      <c r="D31" s="4">
        <f t="shared" ref="D31:P31" si="8">D16/$F$3</f>
        <v>14.173181818181817</v>
      </c>
      <c r="E31" s="4">
        <f t="shared" si="8"/>
        <v>6.4347272727272724</v>
      </c>
      <c r="F31" s="4">
        <f t="shared" si="8"/>
        <v>5.6172727272727281</v>
      </c>
      <c r="G31" s="4">
        <f t="shared" si="8"/>
        <v>2.5966363636363634</v>
      </c>
      <c r="H31" s="4">
        <f t="shared" si="8"/>
        <v>0.73636363636363633</v>
      </c>
      <c r="I31" s="4">
        <f t="shared" si="8"/>
        <v>0.70909090909090911</v>
      </c>
      <c r="J31" s="4">
        <f t="shared" si="8"/>
        <v>0.36363636363636365</v>
      </c>
      <c r="K31" s="4">
        <f t="shared" si="8"/>
        <v>0.27272727272727271</v>
      </c>
      <c r="L31" s="4">
        <f t="shared" si="8"/>
        <v>0.84545454545454546</v>
      </c>
      <c r="M31" s="4">
        <f t="shared" si="8"/>
        <v>3.3954545454545455</v>
      </c>
      <c r="N31" s="4">
        <f t="shared" si="8"/>
        <v>7.081818181818182</v>
      </c>
      <c r="O31" s="4">
        <f t="shared" si="8"/>
        <v>7.7409090909090912</v>
      </c>
      <c r="P31" s="4">
        <f t="shared" si="8"/>
        <v>49.967272727272722</v>
      </c>
      <c r="U31" s="34"/>
    </row>
    <row r="32" spans="1:29" ht="12" customHeight="1" x14ac:dyDescent="0.3">
      <c r="B32" s="47" t="s">
        <v>47</v>
      </c>
      <c r="C32" s="47" t="s">
        <v>45</v>
      </c>
      <c r="D32" s="4">
        <f t="shared" ref="D32:P32" si="9">D17/$F$4</f>
        <v>4.4053946139859459</v>
      </c>
      <c r="E32" s="4">
        <f t="shared" si="9"/>
        <v>3.2334615565593827</v>
      </c>
      <c r="F32" s="4">
        <f t="shared" si="9"/>
        <v>2.4674803805819856</v>
      </c>
      <c r="G32" s="4">
        <f t="shared" si="9"/>
        <v>1.1044035530072764</v>
      </c>
      <c r="H32" s="4">
        <f t="shared" si="9"/>
        <v>0.29220779220779219</v>
      </c>
      <c r="I32" s="4">
        <f t="shared" si="9"/>
        <v>0.2813852813852814</v>
      </c>
      <c r="J32" s="4">
        <f t="shared" si="9"/>
        <v>0.14430014430014432</v>
      </c>
      <c r="K32" s="4">
        <f t="shared" si="9"/>
        <v>0.10822510822510822</v>
      </c>
      <c r="L32" s="4">
        <f t="shared" si="9"/>
        <v>0.49385281385281382</v>
      </c>
      <c r="M32" s="4">
        <f t="shared" si="9"/>
        <v>1.2532467532467533</v>
      </c>
      <c r="N32" s="4">
        <f t="shared" si="9"/>
        <v>2.6364157034260129</v>
      </c>
      <c r="O32" s="4">
        <f t="shared" si="9"/>
        <v>3.4904404116226777</v>
      </c>
      <c r="P32" s="4">
        <f t="shared" si="9"/>
        <v>19.910814112401173</v>
      </c>
      <c r="U32" s="34"/>
    </row>
    <row r="33" spans="1:16" ht="12" customHeight="1" x14ac:dyDescent="0.3">
      <c r="B33" s="47" t="s">
        <v>47</v>
      </c>
      <c r="C33" s="47" t="s">
        <v>46</v>
      </c>
      <c r="D33" s="4">
        <f t="shared" ref="D33:P33" si="10">D17/$F$3</f>
        <v>11.101594427244583</v>
      </c>
      <c r="E33" s="4">
        <f t="shared" si="10"/>
        <v>8.1483231225296429</v>
      </c>
      <c r="F33" s="4">
        <f t="shared" si="10"/>
        <v>6.2180505590666026</v>
      </c>
      <c r="G33" s="4">
        <f t="shared" si="10"/>
        <v>2.7830969535783368</v>
      </c>
      <c r="H33" s="4">
        <f t="shared" si="10"/>
        <v>0.73636363636363633</v>
      </c>
      <c r="I33" s="4">
        <f t="shared" si="10"/>
        <v>0.70909090909090911</v>
      </c>
      <c r="J33" s="4">
        <f t="shared" si="10"/>
        <v>0.36363636363636365</v>
      </c>
      <c r="K33" s="4">
        <f t="shared" si="10"/>
        <v>0.27272727272727271</v>
      </c>
      <c r="L33" s="4">
        <f t="shared" si="10"/>
        <v>1.2445090909090908</v>
      </c>
      <c r="M33" s="4">
        <f t="shared" si="10"/>
        <v>3.1581818181818178</v>
      </c>
      <c r="N33" s="4">
        <f t="shared" si="10"/>
        <v>6.6437675726335526</v>
      </c>
      <c r="O33" s="4">
        <f t="shared" si="10"/>
        <v>8.7959098372891464</v>
      </c>
      <c r="P33" s="4">
        <f t="shared" si="10"/>
        <v>50.175251563250953</v>
      </c>
    </row>
    <row r="34" spans="1:16" ht="12" customHeight="1" x14ac:dyDescent="0.3">
      <c r="B34" s="47" t="s">
        <v>44</v>
      </c>
      <c r="C34" s="47" t="s">
        <v>48</v>
      </c>
      <c r="D34" s="4">
        <f t="shared" ref="D34:P34" si="11">1000*D30/D13</f>
        <v>5.804208977583591</v>
      </c>
      <c r="E34" s="4">
        <f t="shared" si="11"/>
        <v>4.6258391367087022</v>
      </c>
      <c r="F34" s="4">
        <f t="shared" si="11"/>
        <v>3.9733983584250967</v>
      </c>
      <c r="G34" s="4">
        <f t="shared" si="11"/>
        <v>2.7404554665192964</v>
      </c>
      <c r="H34" s="4">
        <f t="shared" si="11"/>
        <v>12.704686617730095</v>
      </c>
      <c r="I34" s="4">
        <f t="shared" si="11"/>
        <v>7.6050076050076054</v>
      </c>
      <c r="J34" s="4">
        <f t="shared" si="11"/>
        <v>24.050024050024053</v>
      </c>
      <c r="K34" s="4">
        <f t="shared" si="11"/>
        <v>9.0187590187590185</v>
      </c>
      <c r="L34" s="4">
        <f t="shared" si="11"/>
        <v>2.6839826839826841</v>
      </c>
      <c r="M34" s="4">
        <f t="shared" si="11"/>
        <v>3.2467532467532467</v>
      </c>
      <c r="N34" s="4">
        <f t="shared" si="11"/>
        <v>4.8286001894249324</v>
      </c>
      <c r="O34" s="4">
        <f t="shared" si="11"/>
        <v>5.0439890341368168</v>
      </c>
      <c r="P34" s="4">
        <f t="shared" si="11"/>
        <v>4.6468907495389802</v>
      </c>
    </row>
    <row r="35" spans="1:16" ht="12" customHeight="1" x14ac:dyDescent="0.25">
      <c r="D35" s="36"/>
      <c r="E35" s="36"/>
      <c r="F35" s="36"/>
      <c r="G35" s="36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2" customHeight="1" x14ac:dyDescent="0.3">
      <c r="B38" s="47" t="s">
        <v>50</v>
      </c>
      <c r="D38" s="13">
        <f>4400*1.3</f>
        <v>5720</v>
      </c>
      <c r="E38" s="11" t="s">
        <v>26</v>
      </c>
      <c r="F38" s="51">
        <f>D38/$D$40</f>
        <v>0.53721530875792445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</row>
    <row r="39" spans="1:16" ht="12" customHeight="1" x14ac:dyDescent="0.25">
      <c r="B39" s="53" t="s">
        <v>53</v>
      </c>
      <c r="C39" s="53"/>
      <c r="D39" s="54">
        <f>K3*365</f>
        <v>4927.5</v>
      </c>
      <c r="E39" s="55" t="s">
        <v>26</v>
      </c>
      <c r="F39" s="51">
        <f>D39/$D$40</f>
        <v>0.46278469124207561</v>
      </c>
      <c r="G39" s="11" t="s">
        <v>54</v>
      </c>
      <c r="H39" s="4"/>
      <c r="I39" s="4"/>
      <c r="J39" s="4"/>
      <c r="K39" s="4">
        <f>K38-D38</f>
        <v>2846</v>
      </c>
      <c r="L39" s="11" t="s">
        <v>26</v>
      </c>
      <c r="M39" s="4"/>
      <c r="N39" s="13">
        <f>'2007'!I36</f>
        <v>14540</v>
      </c>
      <c r="O39" s="11" t="s">
        <v>26</v>
      </c>
      <c r="P39" s="4"/>
    </row>
    <row r="40" spans="1:16" ht="12" customHeight="1" x14ac:dyDescent="0.3">
      <c r="B40" s="47" t="s">
        <v>22</v>
      </c>
      <c r="D40" s="13">
        <f>SUM(D38:D39)</f>
        <v>10647.5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0.33224375437777259</v>
      </c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0.21091636713973394</v>
      </c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2" customHeight="1" x14ac:dyDescent="0.3">
      <c r="A51" s="47" t="s">
        <v>57</v>
      </c>
      <c r="D51" s="4" t="s">
        <v>58</v>
      </c>
      <c r="E51" s="4" t="s">
        <v>59</v>
      </c>
      <c r="F51" s="4" t="s">
        <v>60</v>
      </c>
      <c r="G51" s="11" t="s">
        <v>61</v>
      </c>
      <c r="H51" s="4"/>
      <c r="I51" s="4"/>
      <c r="J51" s="4"/>
      <c r="K51" s="4"/>
      <c r="L51" s="4"/>
      <c r="M51" s="4"/>
      <c r="N51" s="4"/>
      <c r="O51" s="4"/>
      <c r="P51" s="4"/>
    </row>
    <row r="52" spans="1:16" ht="12" customHeight="1" x14ac:dyDescent="0.25">
      <c r="B52" s="56">
        <v>41633</v>
      </c>
      <c r="D52" s="4">
        <v>495.16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2" customHeight="1" x14ac:dyDescent="0.25">
      <c r="B53" s="56">
        <v>41645</v>
      </c>
      <c r="D53" s="4">
        <v>584.70000000000005</v>
      </c>
      <c r="E53" s="13">
        <f t="shared" ref="E53:E82" si="12">DAYS360(B52,B53)</f>
        <v>11</v>
      </c>
      <c r="F53" s="4">
        <f t="shared" ref="F53:F82" si="13">(D53-D52)/E53</f>
        <v>8.1400000000000023</v>
      </c>
      <c r="G53" s="13">
        <v>195</v>
      </c>
      <c r="H53" s="57">
        <f t="shared" ref="H53:H58" si="14">(D53-D52)/G53</f>
        <v>0.45917948717948731</v>
      </c>
      <c r="I53" s="4"/>
      <c r="J53" s="4"/>
      <c r="K53" s="4"/>
      <c r="L53" s="4"/>
      <c r="M53" s="4"/>
      <c r="N53" s="4"/>
      <c r="O53" s="4"/>
      <c r="P53" s="4"/>
    </row>
    <row r="54" spans="1:16" ht="12" customHeight="1" x14ac:dyDescent="0.25">
      <c r="B54" s="56">
        <v>41692</v>
      </c>
      <c r="D54" s="4">
        <v>1079.44</v>
      </c>
      <c r="E54" s="13">
        <f t="shared" si="12"/>
        <v>46</v>
      </c>
      <c r="F54" s="4">
        <f t="shared" si="13"/>
        <v>10.755217391304347</v>
      </c>
      <c r="G54" s="13">
        <v>1116</v>
      </c>
      <c r="H54" s="57">
        <f t="shared" si="14"/>
        <v>0.44331541218637993</v>
      </c>
      <c r="I54" s="4"/>
      <c r="J54" s="4"/>
      <c r="K54" s="4"/>
      <c r="L54" s="4"/>
      <c r="M54" s="4"/>
      <c r="N54" s="4"/>
      <c r="O54" s="4"/>
      <c r="P54" s="4"/>
    </row>
    <row r="55" spans="1:16" ht="12" customHeight="1" x14ac:dyDescent="0.25">
      <c r="B55" s="56">
        <v>41720</v>
      </c>
      <c r="D55" s="4">
        <v>1376.73</v>
      </c>
      <c r="E55" s="13">
        <f t="shared" si="12"/>
        <v>30</v>
      </c>
      <c r="F55" s="4">
        <f t="shared" si="13"/>
        <v>9.9096666666666646</v>
      </c>
      <c r="G55" s="13">
        <v>459</v>
      </c>
      <c r="H55" s="57">
        <f t="shared" si="14"/>
        <v>0.64769063180827879</v>
      </c>
      <c r="I55" s="4"/>
      <c r="J55" s="4"/>
      <c r="K55" s="4"/>
      <c r="L55" s="4"/>
      <c r="M55" s="4"/>
      <c r="N55" s="4"/>
      <c r="O55" s="4"/>
      <c r="P55" s="4"/>
    </row>
    <row r="56" spans="1:16" ht="12" customHeight="1" x14ac:dyDescent="0.25">
      <c r="B56" s="56">
        <v>41734</v>
      </c>
      <c r="D56" s="4">
        <v>1545.36</v>
      </c>
      <c r="E56" s="13">
        <f t="shared" si="12"/>
        <v>13</v>
      </c>
      <c r="F56" s="4">
        <f t="shared" si="13"/>
        <v>12.971538461538453</v>
      </c>
      <c r="G56" s="4">
        <v>173</v>
      </c>
      <c r="H56" s="57">
        <f t="shared" si="14"/>
        <v>0.97473988439306292</v>
      </c>
      <c r="I56" s="4"/>
      <c r="J56" s="4"/>
      <c r="K56" s="4"/>
      <c r="L56" s="4"/>
      <c r="M56" s="4"/>
      <c r="N56" s="4" t="s">
        <v>62</v>
      </c>
      <c r="O56" s="4"/>
      <c r="P56" s="4"/>
    </row>
    <row r="57" spans="1:16" ht="12" customHeight="1" x14ac:dyDescent="0.25">
      <c r="B57" s="56">
        <v>41791</v>
      </c>
      <c r="D57" s="4">
        <v>2153</v>
      </c>
      <c r="E57" s="13">
        <f t="shared" si="12"/>
        <v>56</v>
      </c>
      <c r="F57" s="4">
        <f t="shared" si="13"/>
        <v>10.850714285714288</v>
      </c>
      <c r="G57" s="4">
        <v>537</v>
      </c>
      <c r="H57" s="57">
        <f t="shared" si="14"/>
        <v>1.1315456238361268</v>
      </c>
      <c r="I57" s="4"/>
      <c r="J57" s="4"/>
      <c r="K57" s="4"/>
      <c r="L57" s="84">
        <v>41851</v>
      </c>
      <c r="M57" s="84"/>
      <c r="N57" s="4">
        <v>2274.96</v>
      </c>
      <c r="O57" s="4">
        <f>N57-D59</f>
        <v>13.269999999999982</v>
      </c>
      <c r="P57" s="4"/>
    </row>
    <row r="58" spans="1:16" ht="12" customHeight="1" x14ac:dyDescent="0.25">
      <c r="B58" s="56">
        <v>41814</v>
      </c>
      <c r="D58" s="4">
        <v>2233.4699999999998</v>
      </c>
      <c r="E58" s="13">
        <f t="shared" si="12"/>
        <v>23</v>
      </c>
      <c r="F58" s="4">
        <f t="shared" si="13"/>
        <v>3.4986956521739043</v>
      </c>
      <c r="G58" s="4">
        <v>78.2</v>
      </c>
      <c r="H58" s="57">
        <f t="shared" si="14"/>
        <v>1.0290281329923248</v>
      </c>
      <c r="I58" s="4"/>
      <c r="J58" s="4"/>
      <c r="K58" s="4"/>
      <c r="L58" s="4"/>
      <c r="M58" s="4"/>
      <c r="N58" s="4"/>
      <c r="O58" s="4"/>
      <c r="P58" s="4"/>
    </row>
    <row r="59" spans="1:16" ht="12" customHeight="1" x14ac:dyDescent="0.25">
      <c r="B59" s="56">
        <v>41825</v>
      </c>
      <c r="D59" s="4">
        <v>2261.69</v>
      </c>
      <c r="E59" s="13">
        <f t="shared" si="12"/>
        <v>11</v>
      </c>
      <c r="F59" s="4">
        <f t="shared" si="13"/>
        <v>2.5654545454545685</v>
      </c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2" customHeight="1" x14ac:dyDescent="0.25">
      <c r="B60" s="56">
        <v>41852</v>
      </c>
      <c r="D60" s="4">
        <v>2274.96</v>
      </c>
      <c r="E60" s="13">
        <f t="shared" si="12"/>
        <v>26</v>
      </c>
      <c r="F60" s="4">
        <f t="shared" si="13"/>
        <v>0.51038461538461466</v>
      </c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2" customHeight="1" x14ac:dyDescent="0.25">
      <c r="B61" s="56">
        <v>41882</v>
      </c>
      <c r="D61" s="4">
        <v>2314.3200000000002</v>
      </c>
      <c r="E61" s="13">
        <f t="shared" si="12"/>
        <v>30</v>
      </c>
      <c r="F61" s="4">
        <f t="shared" si="13"/>
        <v>1.3120000000000043</v>
      </c>
      <c r="G61" s="4">
        <v>13</v>
      </c>
      <c r="H61" s="4"/>
      <c r="I61" s="4">
        <f>D61-D60</f>
        <v>39.360000000000127</v>
      </c>
      <c r="J61" s="4"/>
      <c r="K61" s="4"/>
      <c r="L61" s="4"/>
      <c r="M61" s="4"/>
      <c r="N61" s="4"/>
      <c r="O61" s="4"/>
      <c r="P61" s="4"/>
    </row>
    <row r="62" spans="1:16" ht="12" customHeight="1" x14ac:dyDescent="0.25">
      <c r="B62" s="56">
        <v>41889</v>
      </c>
      <c r="D62" s="4">
        <v>2330.23</v>
      </c>
      <c r="E62" s="13">
        <f t="shared" si="12"/>
        <v>7</v>
      </c>
      <c r="F62" s="4">
        <f t="shared" si="13"/>
        <v>2.2728571428571223</v>
      </c>
      <c r="G62" s="4">
        <f>3.8*7</f>
        <v>26.599999999999998</v>
      </c>
      <c r="H62" s="57">
        <f t="shared" ref="H62:H78" si="15">(D62-D61)/G62</f>
        <v>0.59812030075187428</v>
      </c>
      <c r="I62" s="4"/>
      <c r="J62" s="4"/>
      <c r="K62" s="4"/>
      <c r="L62" s="4"/>
      <c r="M62" s="4"/>
      <c r="N62" s="4"/>
      <c r="O62" s="4"/>
      <c r="P62" s="4"/>
    </row>
    <row r="63" spans="1:16" ht="12" customHeight="1" x14ac:dyDescent="0.25">
      <c r="B63" s="56">
        <v>41929</v>
      </c>
      <c r="D63" s="4">
        <v>2507</v>
      </c>
      <c r="E63" s="13">
        <f t="shared" si="12"/>
        <v>40</v>
      </c>
      <c r="F63" s="4">
        <f t="shared" si="13"/>
        <v>4.4192499999999999</v>
      </c>
      <c r="G63" s="4">
        <f>7*40</f>
        <v>280</v>
      </c>
      <c r="H63" s="57">
        <f t="shared" si="15"/>
        <v>0.63132142857142848</v>
      </c>
      <c r="I63" s="4"/>
      <c r="J63" s="4"/>
      <c r="K63" s="4"/>
      <c r="L63" s="4"/>
      <c r="M63" s="4"/>
      <c r="N63" s="4"/>
      <c r="O63" s="4"/>
      <c r="P63" s="4"/>
    </row>
    <row r="64" spans="1:16" ht="12" customHeight="1" x14ac:dyDescent="0.25">
      <c r="B64" s="56">
        <v>41951</v>
      </c>
      <c r="D64" s="4">
        <v>2695.68</v>
      </c>
      <c r="E64" s="13">
        <f t="shared" si="12"/>
        <v>21</v>
      </c>
      <c r="F64" s="4">
        <f t="shared" si="13"/>
        <v>8.9847619047618963</v>
      </c>
      <c r="G64" s="4">
        <f>21*12.5</f>
        <v>262.5</v>
      </c>
      <c r="H64" s="57">
        <f t="shared" si="15"/>
        <v>0.71878095238095174</v>
      </c>
      <c r="I64" s="4"/>
      <c r="J64" s="4"/>
      <c r="K64" s="4"/>
      <c r="L64" s="4"/>
      <c r="M64" s="4"/>
      <c r="N64" s="4"/>
      <c r="O64" s="4"/>
      <c r="P64" s="4"/>
    </row>
    <row r="65" spans="1:16" ht="12" customHeight="1" x14ac:dyDescent="0.25">
      <c r="A65" s="48"/>
      <c r="B65" s="56">
        <v>42035</v>
      </c>
      <c r="D65" s="4">
        <v>3422.93</v>
      </c>
      <c r="E65" s="13">
        <f t="shared" si="12"/>
        <v>83</v>
      </c>
      <c r="F65" s="4">
        <f t="shared" si="13"/>
        <v>8.7620481927710845</v>
      </c>
      <c r="G65" s="4">
        <v>1643</v>
      </c>
      <c r="H65" s="57">
        <f t="shared" si="15"/>
        <v>0.44263542300669506</v>
      </c>
      <c r="I65" s="4"/>
      <c r="J65" s="4"/>
      <c r="K65" s="4"/>
      <c r="L65" s="4">
        <f>D65-D52</f>
        <v>2927.77</v>
      </c>
      <c r="M65" s="4"/>
      <c r="N65" s="4">
        <f>B65-B52</f>
        <v>402</v>
      </c>
      <c r="O65" s="4"/>
      <c r="P65" s="4">
        <f>L65/N65*365</f>
        <v>2658.2986318407961</v>
      </c>
    </row>
    <row r="66" spans="1:16" ht="12" customHeight="1" x14ac:dyDescent="0.25">
      <c r="A66" s="48"/>
      <c r="B66" s="56">
        <v>42099</v>
      </c>
      <c r="D66" s="4">
        <v>3996.35</v>
      </c>
      <c r="E66" s="13">
        <f t="shared" si="12"/>
        <v>65</v>
      </c>
      <c r="F66" s="4">
        <f t="shared" si="13"/>
        <v>8.8218461538461543</v>
      </c>
      <c r="G66" s="4">
        <f>524+505+80</f>
        <v>1109</v>
      </c>
      <c r="H66" s="57">
        <f t="shared" si="15"/>
        <v>0.5170604147880975</v>
      </c>
      <c r="I66" s="4"/>
      <c r="J66" s="4"/>
      <c r="K66" s="4"/>
      <c r="L66" s="4">
        <f>D66-D65</f>
        <v>573.42000000000007</v>
      </c>
      <c r="M66" s="4"/>
      <c r="N66" s="4"/>
      <c r="O66" s="4"/>
      <c r="P66" s="4"/>
    </row>
    <row r="67" spans="1:16" ht="12" customHeight="1" x14ac:dyDescent="0.25">
      <c r="A67" s="48"/>
      <c r="B67" s="56">
        <v>42127</v>
      </c>
      <c r="D67" s="4">
        <v>4186.01</v>
      </c>
      <c r="E67" s="13">
        <f t="shared" si="12"/>
        <v>28</v>
      </c>
      <c r="F67" s="4">
        <f t="shared" si="13"/>
        <v>6.7735714285714392</v>
      </c>
      <c r="G67" s="4">
        <v>372</v>
      </c>
      <c r="H67" s="57">
        <f t="shared" si="15"/>
        <v>0.50983870967742018</v>
      </c>
      <c r="I67" s="4"/>
      <c r="J67" s="4"/>
      <c r="K67" s="4"/>
      <c r="L67" s="4">
        <f>D67-D66</f>
        <v>189.66000000000031</v>
      </c>
      <c r="M67" s="4"/>
      <c r="N67" s="4"/>
      <c r="O67" s="4"/>
      <c r="P67" s="4"/>
    </row>
    <row r="68" spans="1:16" ht="12" customHeight="1" x14ac:dyDescent="0.25">
      <c r="A68" s="48"/>
      <c r="B68" s="56">
        <v>42148</v>
      </c>
      <c r="D68" s="4">
        <v>4288.13</v>
      </c>
      <c r="E68" s="13">
        <f t="shared" si="12"/>
        <v>21</v>
      </c>
      <c r="F68" s="4">
        <f t="shared" si="13"/>
        <v>4.8628571428571377</v>
      </c>
      <c r="G68" s="4">
        <v>125</v>
      </c>
      <c r="H68" s="57">
        <f t="shared" si="15"/>
        <v>0.81695999999999913</v>
      </c>
      <c r="I68" s="4"/>
      <c r="J68" s="4"/>
      <c r="K68" s="4"/>
      <c r="L68" s="4">
        <f>D68-D67</f>
        <v>102.11999999999989</v>
      </c>
      <c r="M68" s="4"/>
      <c r="N68" s="4"/>
      <c r="O68" s="4"/>
      <c r="P68" s="4"/>
    </row>
    <row r="69" spans="1:16" ht="12" customHeight="1" x14ac:dyDescent="0.25">
      <c r="A69" s="56"/>
      <c r="B69" s="56">
        <v>42180</v>
      </c>
      <c r="D69" s="4">
        <v>4366.53</v>
      </c>
      <c r="E69" s="13">
        <f t="shared" si="12"/>
        <v>31</v>
      </c>
      <c r="F69" s="4">
        <f t="shared" si="13"/>
        <v>2.5290322580645044</v>
      </c>
      <c r="G69" s="4">
        <v>8</v>
      </c>
      <c r="H69" s="57">
        <f t="shared" si="15"/>
        <v>9.7999999999999545</v>
      </c>
      <c r="I69" s="4"/>
      <c r="J69" s="4"/>
      <c r="K69" s="4"/>
      <c r="L69" s="4">
        <f>D69-D68</f>
        <v>78.399999999999636</v>
      </c>
      <c r="M69" s="4"/>
      <c r="N69" s="4"/>
      <c r="O69" s="4"/>
      <c r="P69" s="4"/>
    </row>
    <row r="70" spans="1:16" ht="12" customHeight="1" x14ac:dyDescent="0.25">
      <c r="A70" s="56"/>
      <c r="B70" s="56">
        <v>42233</v>
      </c>
      <c r="D70" s="4">
        <v>4444.18</v>
      </c>
      <c r="E70" s="13">
        <f t="shared" si="12"/>
        <v>52</v>
      </c>
      <c r="F70" s="4">
        <f t="shared" si="13"/>
        <v>1.4932692307692412</v>
      </c>
      <c r="G70" s="4">
        <v>5</v>
      </c>
      <c r="H70" s="57">
        <f t="shared" si="15"/>
        <v>15.530000000000109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56"/>
      <c r="B71" s="56">
        <v>42295</v>
      </c>
      <c r="D71" s="4">
        <v>4652.76</v>
      </c>
      <c r="E71" s="13">
        <f t="shared" si="12"/>
        <v>61</v>
      </c>
      <c r="F71" s="4">
        <f t="shared" si="13"/>
        <v>3.4193442622950809</v>
      </c>
      <c r="G71" s="4">
        <f>70+18*(17-4)</f>
        <v>304</v>
      </c>
      <c r="H71" s="57">
        <f t="shared" si="15"/>
        <v>0.68611842105263132</v>
      </c>
      <c r="I71" s="4"/>
      <c r="J71" s="4"/>
      <c r="K71" s="4"/>
      <c r="L71" s="4">
        <f>D71-D63</f>
        <v>2145.7600000000002</v>
      </c>
      <c r="M71" s="4"/>
      <c r="N71" s="4"/>
      <c r="O71" s="4"/>
      <c r="P71" s="4"/>
    </row>
    <row r="72" spans="1:16" ht="12" customHeight="1" x14ac:dyDescent="0.25">
      <c r="A72" s="48"/>
      <c r="B72" s="56">
        <v>42346</v>
      </c>
      <c r="D72" s="4">
        <v>5072.0200000000004</v>
      </c>
      <c r="E72" s="13">
        <f t="shared" si="12"/>
        <v>50</v>
      </c>
      <c r="F72" s="4">
        <f t="shared" si="13"/>
        <v>8.3852000000000046</v>
      </c>
      <c r="G72" s="4">
        <f>13.5*50</f>
        <v>675</v>
      </c>
      <c r="H72" s="57">
        <f t="shared" si="15"/>
        <v>0.6211259259259263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42361</v>
      </c>
      <c r="D73" s="4">
        <v>5193.0200000000004</v>
      </c>
      <c r="E73" s="13">
        <f t="shared" si="12"/>
        <v>15</v>
      </c>
      <c r="F73" s="4">
        <f t="shared" si="13"/>
        <v>8.0666666666666664</v>
      </c>
      <c r="G73" s="4">
        <f>14*15</f>
        <v>210</v>
      </c>
      <c r="H73" s="57">
        <f t="shared" si="15"/>
        <v>0.57619047619047614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A74" s="48"/>
      <c r="B74" s="56">
        <v>42442</v>
      </c>
      <c r="D74" s="4">
        <v>5511</v>
      </c>
      <c r="E74" s="13">
        <f t="shared" si="12"/>
        <v>80</v>
      </c>
      <c r="F74" s="4">
        <f t="shared" si="13"/>
        <v>3.9747499999999945</v>
      </c>
      <c r="G74" s="4">
        <f>552+969</f>
        <v>1521</v>
      </c>
      <c r="H74" s="57">
        <f t="shared" si="15"/>
        <v>0.20905982905982878</v>
      </c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A75" s="48"/>
      <c r="B75" s="56">
        <v>42489</v>
      </c>
      <c r="D75" s="4">
        <v>5826.24</v>
      </c>
      <c r="E75" s="13">
        <f t="shared" si="12"/>
        <v>46</v>
      </c>
      <c r="F75" s="4">
        <f t="shared" si="13"/>
        <v>6.8530434782608651</v>
      </c>
      <c r="G75" s="4">
        <f>561+376</f>
        <v>937</v>
      </c>
      <c r="H75" s="57">
        <f t="shared" si="15"/>
        <v>0.33643543223052269</v>
      </c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B76" s="56">
        <v>42519</v>
      </c>
      <c r="D76" s="4">
        <v>5907.41</v>
      </c>
      <c r="E76" s="13">
        <f t="shared" si="12"/>
        <v>30</v>
      </c>
      <c r="F76" s="4">
        <f t="shared" si="13"/>
        <v>2.7056666666666689</v>
      </c>
      <c r="G76" s="4">
        <v>23</v>
      </c>
      <c r="H76" s="57">
        <f t="shared" si="15"/>
        <v>3.529130434782612</v>
      </c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B77" s="56">
        <v>42552</v>
      </c>
      <c r="D77" s="4">
        <v>5970.92</v>
      </c>
      <c r="E77" s="13">
        <f t="shared" si="12"/>
        <v>32</v>
      </c>
      <c r="F77" s="4">
        <f t="shared" si="13"/>
        <v>1.9846875000000068</v>
      </c>
      <c r="G77" s="4">
        <v>37</v>
      </c>
      <c r="H77" s="57">
        <f t="shared" si="15"/>
        <v>1.7164864864864924</v>
      </c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B78" s="56">
        <v>42579</v>
      </c>
      <c r="D78" s="4">
        <v>6019</v>
      </c>
      <c r="E78" s="13">
        <f t="shared" si="12"/>
        <v>27</v>
      </c>
      <c r="F78" s="4">
        <f t="shared" si="13"/>
        <v>1.7807407407407381</v>
      </c>
      <c r="G78" s="4">
        <v>0</v>
      </c>
      <c r="H78" s="57" t="e">
        <f t="shared" si="15"/>
        <v>#DIV/0!</v>
      </c>
      <c r="I78" s="4"/>
      <c r="J78" s="4"/>
      <c r="K78" s="4"/>
      <c r="L78" s="4"/>
      <c r="M78" s="4"/>
      <c r="N78" s="4"/>
      <c r="O78" s="4"/>
      <c r="P78" s="4"/>
    </row>
    <row r="79" spans="1:16" ht="12" customHeight="1" x14ac:dyDescent="0.25">
      <c r="B79" s="56">
        <v>42594</v>
      </c>
      <c r="D79" s="4">
        <v>6034.41</v>
      </c>
      <c r="E79" s="13">
        <f t="shared" si="12"/>
        <v>14</v>
      </c>
      <c r="F79" s="4">
        <f t="shared" si="13"/>
        <v>1.1007142857142753</v>
      </c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A80" s="56"/>
      <c r="B80" s="56">
        <v>42617</v>
      </c>
      <c r="D80" s="4">
        <v>6072.33</v>
      </c>
      <c r="E80" s="13">
        <f t="shared" si="12"/>
        <v>22</v>
      </c>
      <c r="F80" s="4">
        <f t="shared" si="13"/>
        <v>1.723636363636367</v>
      </c>
      <c r="G80" s="4"/>
      <c r="H80" s="4"/>
      <c r="I80" s="4"/>
      <c r="J80" s="4"/>
      <c r="K80" s="4"/>
      <c r="L80" s="4">
        <f>D80-D78</f>
        <v>53.329999999999927</v>
      </c>
      <c r="M80" s="4">
        <f>L80/SUM(E79:E80)*31</f>
        <v>45.923055555555493</v>
      </c>
      <c r="N80" s="4"/>
      <c r="O80" s="4"/>
      <c r="P80" s="4"/>
    </row>
    <row r="81" spans="2:16" ht="12" customHeight="1" x14ac:dyDescent="0.25">
      <c r="B81" s="56">
        <v>42665</v>
      </c>
      <c r="D81" s="4">
        <v>6276.93</v>
      </c>
      <c r="E81" s="13">
        <f t="shared" si="12"/>
        <v>48</v>
      </c>
      <c r="F81" s="4">
        <f t="shared" si="13"/>
        <v>4.2625000000000073</v>
      </c>
      <c r="G81" s="4">
        <f>125+234</f>
        <v>359</v>
      </c>
      <c r="H81" s="57">
        <f>(D81-D80)/G81</f>
        <v>0.56991643454039098</v>
      </c>
      <c r="I81" s="4"/>
      <c r="J81" s="4"/>
      <c r="K81" s="4"/>
      <c r="L81" s="4"/>
      <c r="M81" s="4"/>
      <c r="N81" s="4"/>
      <c r="O81" s="4"/>
      <c r="P81" s="4"/>
    </row>
    <row r="82" spans="2:16" ht="12" customHeight="1" x14ac:dyDescent="0.25">
      <c r="B82" s="56">
        <v>42735</v>
      </c>
      <c r="D82" s="4">
        <v>6822.39</v>
      </c>
      <c r="E82" s="13">
        <f t="shared" si="12"/>
        <v>69</v>
      </c>
      <c r="F82" s="4">
        <f t="shared" si="13"/>
        <v>7.9052173913043484</v>
      </c>
      <c r="G82" s="4">
        <v>1172</v>
      </c>
      <c r="H82" s="57">
        <f>(D82-D81)/G82</f>
        <v>0.46540955631399322</v>
      </c>
      <c r="I82" s="4"/>
      <c r="J82" s="4"/>
      <c r="K82" s="4"/>
      <c r="L82" s="4"/>
      <c r="M82" s="4"/>
      <c r="N82" s="4"/>
      <c r="O82" s="4"/>
      <c r="P82" s="4"/>
    </row>
    <row r="83" spans="2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2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2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2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2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2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2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2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2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2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2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7:M57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0"/>
  <sheetViews>
    <sheetView zoomScaleNormal="100" workbookViewId="0">
      <selection activeCell="P11" sqref="P11:P17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5" width="8.6640625" customWidth="1"/>
    <col min="26" max="26" width="14.6640625" customWidth="1"/>
    <col min="27" max="29" width="8.6640625" customWidth="1"/>
  </cols>
  <sheetData>
    <row r="1" spans="1:29" ht="12" customHeight="1" x14ac:dyDescent="0.3">
      <c r="A1" s="2" t="s">
        <v>0</v>
      </c>
      <c r="D1" s="3">
        <v>2015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61"/>
      <c r="S1" s="62"/>
    </row>
    <row r="2" spans="1:29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2"/>
      <c r="P2" s="4"/>
      <c r="Q2" s="8"/>
      <c r="R2" s="60"/>
    </row>
    <row r="3" spans="1:29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13.5</v>
      </c>
      <c r="L3" s="11" t="s">
        <v>5</v>
      </c>
      <c r="M3" s="4"/>
      <c r="N3" s="4"/>
      <c r="O3" s="32"/>
      <c r="P3" s="4"/>
      <c r="Q3" s="8"/>
    </row>
    <row r="4" spans="1:29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SUM(I11:K11)/92</f>
        <v>12.555760869565219</v>
      </c>
      <c r="L4" s="11" t="s">
        <v>5</v>
      </c>
      <c r="M4" s="11"/>
      <c r="N4" s="11"/>
      <c r="O4" s="64"/>
      <c r="P4" s="11"/>
    </row>
    <row r="5" spans="1:29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9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ht="21" customHeight="1" x14ac:dyDescent="0.25">
      <c r="A8" s="25">
        <v>2015</v>
      </c>
      <c r="B8" s="26" t="s">
        <v>23</v>
      </c>
      <c r="C8" s="30" t="s">
        <v>65</v>
      </c>
      <c r="D8" s="28">
        <v>-4.8</v>
      </c>
      <c r="E8" s="28">
        <v>-1.7</v>
      </c>
      <c r="F8" s="28">
        <v>0.7</v>
      </c>
      <c r="G8" s="28">
        <v>4.0999999999999996</v>
      </c>
      <c r="H8" s="28">
        <v>9.5</v>
      </c>
      <c r="I8" s="28">
        <v>13.6</v>
      </c>
      <c r="J8" s="28">
        <v>15.4</v>
      </c>
      <c r="K8" s="28">
        <v>16.7</v>
      </c>
      <c r="L8" s="28">
        <v>12.3</v>
      </c>
      <c r="M8" s="28">
        <v>4.4000000000000004</v>
      </c>
      <c r="N8" s="28">
        <v>2.6</v>
      </c>
      <c r="O8" s="28">
        <v>0.75</v>
      </c>
      <c r="P8" s="28">
        <f>AVERAGE(D8:O8)</f>
        <v>6.1291666666666664</v>
      </c>
      <c r="T8" s="29"/>
      <c r="U8" s="8"/>
      <c r="Z8" s="83"/>
      <c r="AA8" s="83"/>
    </row>
    <row r="9" spans="1:29" ht="12" customHeight="1" x14ac:dyDescent="0.25">
      <c r="A9" s="25">
        <v>2015</v>
      </c>
      <c r="B9" s="26" t="s">
        <v>67</v>
      </c>
      <c r="C9" s="30" t="s">
        <v>26</v>
      </c>
      <c r="D9" s="31">
        <v>1367.99</v>
      </c>
      <c r="E9" s="31">
        <v>1053.3800000000001</v>
      </c>
      <c r="F9" s="31">
        <v>918.54</v>
      </c>
      <c r="G9" s="31">
        <v>816.05</v>
      </c>
      <c r="H9" s="31">
        <v>551.14</v>
      </c>
      <c r="I9" s="31">
        <v>426.4</v>
      </c>
      <c r="J9" s="31">
        <v>373.54</v>
      </c>
      <c r="K9" s="32">
        <v>355.19</v>
      </c>
      <c r="L9" s="32">
        <v>401</v>
      </c>
      <c r="M9" s="32">
        <v>802</v>
      </c>
      <c r="N9" s="32">
        <v>887</v>
      </c>
      <c r="O9" s="32">
        <v>1130</v>
      </c>
      <c r="P9" s="32">
        <f>SUM(D9:O9)</f>
        <v>9082.23</v>
      </c>
      <c r="Q9" s="34"/>
      <c r="S9" s="35"/>
      <c r="T9" s="36"/>
      <c r="U9" s="34"/>
      <c r="W9" s="35"/>
      <c r="Z9" s="37"/>
      <c r="AB9" s="37"/>
      <c r="AC9" s="37"/>
    </row>
    <row r="10" spans="1:29" ht="12" customHeight="1" x14ac:dyDescent="0.25">
      <c r="A10" s="25">
        <v>2015</v>
      </c>
      <c r="B10" s="26" t="s">
        <v>68</v>
      </c>
      <c r="C10" s="30" t="s">
        <v>26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>
        <f>SUM(D10:O10)</f>
        <v>0</v>
      </c>
      <c r="Q10" s="34"/>
      <c r="S10" s="35"/>
      <c r="T10" s="36"/>
      <c r="U10" s="34"/>
      <c r="W10" s="35"/>
      <c r="Z10" s="37"/>
      <c r="AB10" s="37"/>
      <c r="AC10" s="37"/>
    </row>
    <row r="11" spans="1:29" ht="12" customHeight="1" x14ac:dyDescent="0.25">
      <c r="A11" s="25">
        <v>2015</v>
      </c>
      <c r="B11" s="26" t="s">
        <v>25</v>
      </c>
      <c r="C11" s="30" t="s">
        <v>26</v>
      </c>
      <c r="D11" s="32">
        <f t="shared" ref="D11:O11" si="0">SUM(D9:D10)</f>
        <v>1367.99</v>
      </c>
      <c r="E11" s="32">
        <f t="shared" si="0"/>
        <v>1053.3800000000001</v>
      </c>
      <c r="F11" s="32">
        <f t="shared" si="0"/>
        <v>918.54</v>
      </c>
      <c r="G11" s="32">
        <f t="shared" si="0"/>
        <v>816.05</v>
      </c>
      <c r="H11" s="32">
        <f t="shared" si="0"/>
        <v>551.14</v>
      </c>
      <c r="I11" s="32">
        <f t="shared" si="0"/>
        <v>426.4</v>
      </c>
      <c r="J11" s="32">
        <f t="shared" si="0"/>
        <v>373.54</v>
      </c>
      <c r="K11" s="32">
        <f t="shared" si="0"/>
        <v>355.19</v>
      </c>
      <c r="L11" s="32">
        <f t="shared" si="0"/>
        <v>401</v>
      </c>
      <c r="M11" s="32">
        <f t="shared" si="0"/>
        <v>802</v>
      </c>
      <c r="N11" s="32">
        <f t="shared" si="0"/>
        <v>887</v>
      </c>
      <c r="O11" s="32">
        <f t="shared" si="0"/>
        <v>1130</v>
      </c>
      <c r="P11" s="33">
        <f>SUM(D11:O11)</f>
        <v>9082.23</v>
      </c>
      <c r="Q11" s="34"/>
      <c r="S11" s="35"/>
      <c r="T11" s="36"/>
      <c r="U11" s="34"/>
      <c r="Z11" s="37"/>
      <c r="AB11" s="37"/>
    </row>
    <row r="12" spans="1:29" ht="12" customHeight="1" x14ac:dyDescent="0.25">
      <c r="A12" s="25">
        <v>2015</v>
      </c>
      <c r="B12" s="26" t="s">
        <v>28</v>
      </c>
      <c r="C12" s="30" t="s">
        <v>26</v>
      </c>
      <c r="D12" s="43">
        <f>0.44*D13</f>
        <v>296.56</v>
      </c>
      <c r="E12" s="43">
        <f>0.54*E13</f>
        <v>282.96000000000004</v>
      </c>
      <c r="F12" s="43">
        <f>0.58*F13</f>
        <v>292.89999999999998</v>
      </c>
      <c r="G12" s="43">
        <v>190</v>
      </c>
      <c r="H12" s="43">
        <v>102</v>
      </c>
      <c r="I12" s="43">
        <v>78</v>
      </c>
      <c r="J12" s="32">
        <v>40</v>
      </c>
      <c r="K12" s="43">
        <v>30</v>
      </c>
      <c r="L12" s="43">
        <f>0.7*L13</f>
        <v>49</v>
      </c>
      <c r="M12" s="43">
        <f>0.7*M13</f>
        <v>273</v>
      </c>
      <c r="N12" s="43">
        <f>0.62*N13</f>
        <v>267.21999999999997</v>
      </c>
      <c r="O12" s="43">
        <f>0.58*O13</f>
        <v>292.89999999999998</v>
      </c>
      <c r="P12" s="43">
        <f>SUM(D12:O12)</f>
        <v>2194.54</v>
      </c>
      <c r="Q12" s="34"/>
      <c r="R12" s="35"/>
      <c r="T12" s="36"/>
      <c r="U12" s="34"/>
      <c r="V12" s="35"/>
    </row>
    <row r="13" spans="1:29" ht="12" customHeight="1" x14ac:dyDescent="0.25">
      <c r="A13" s="25">
        <v>2015</v>
      </c>
      <c r="B13" s="40" t="s">
        <v>29</v>
      </c>
      <c r="C13" s="30" t="s">
        <v>66</v>
      </c>
      <c r="D13" s="32">
        <v>674</v>
      </c>
      <c r="E13" s="32">
        <v>524</v>
      </c>
      <c r="F13" s="32">
        <v>505</v>
      </c>
      <c r="G13" s="32">
        <v>388</v>
      </c>
      <c r="H13" s="32">
        <v>184</v>
      </c>
      <c r="I13" s="32">
        <v>8</v>
      </c>
      <c r="J13" s="32">
        <v>5</v>
      </c>
      <c r="K13" s="32">
        <v>0</v>
      </c>
      <c r="L13" s="32">
        <v>70</v>
      </c>
      <c r="M13" s="32">
        <v>390</v>
      </c>
      <c r="N13" s="32">
        <v>431</v>
      </c>
      <c r="O13" s="32">
        <v>505</v>
      </c>
      <c r="P13" s="32">
        <f>SUM(D13:O13)</f>
        <v>3684</v>
      </c>
      <c r="Q13" s="42"/>
      <c r="R13" s="42"/>
      <c r="S13" s="35"/>
      <c r="T13" s="36"/>
      <c r="U13" s="34"/>
      <c r="V13" s="35"/>
    </row>
    <row r="14" spans="1:29" ht="12" customHeight="1" x14ac:dyDescent="0.25">
      <c r="A14" s="25">
        <v>2015</v>
      </c>
      <c r="B14" s="40" t="s">
        <v>31</v>
      </c>
      <c r="C14" s="30" t="s">
        <v>66</v>
      </c>
      <c r="D14" s="32">
        <v>759</v>
      </c>
      <c r="E14" s="32">
        <v>699</v>
      </c>
      <c r="F14" s="32">
        <v>621</v>
      </c>
      <c r="G14" s="32">
        <v>403</v>
      </c>
      <c r="H14" s="32">
        <v>165</v>
      </c>
      <c r="I14" s="32">
        <v>22</v>
      </c>
      <c r="J14" s="32">
        <v>5</v>
      </c>
      <c r="K14" s="32">
        <v>28</v>
      </c>
      <c r="L14" s="32">
        <v>184</v>
      </c>
      <c r="M14" s="32">
        <v>386</v>
      </c>
      <c r="N14" s="32">
        <v>546</v>
      </c>
      <c r="O14" s="32">
        <v>692</v>
      </c>
      <c r="P14" s="32">
        <v>4510</v>
      </c>
      <c r="R14" s="42"/>
      <c r="T14" s="36"/>
      <c r="U14" s="34"/>
      <c r="V14" s="34"/>
    </row>
    <row r="15" spans="1:29" ht="12" customHeight="1" x14ac:dyDescent="0.25">
      <c r="A15" s="25">
        <v>2015</v>
      </c>
      <c r="B15" s="26" t="s">
        <v>32</v>
      </c>
      <c r="C15" s="30" t="s">
        <v>26</v>
      </c>
      <c r="D15" s="32">
        <f t="shared" ref="D15:O15" si="1">$K$3*D7</f>
        <v>418.5</v>
      </c>
      <c r="E15" s="32">
        <f t="shared" si="1"/>
        <v>378</v>
      </c>
      <c r="F15" s="32">
        <f t="shared" si="1"/>
        <v>418.5</v>
      </c>
      <c r="G15" s="32">
        <f t="shared" si="1"/>
        <v>405</v>
      </c>
      <c r="H15" s="32">
        <f t="shared" si="1"/>
        <v>418.5</v>
      </c>
      <c r="I15" s="32">
        <f t="shared" si="1"/>
        <v>405</v>
      </c>
      <c r="J15" s="32">
        <f t="shared" si="1"/>
        <v>418.5</v>
      </c>
      <c r="K15" s="32">
        <f t="shared" si="1"/>
        <v>418.5</v>
      </c>
      <c r="L15" s="32">
        <f t="shared" si="1"/>
        <v>405</v>
      </c>
      <c r="M15" s="32">
        <f t="shared" si="1"/>
        <v>418.5</v>
      </c>
      <c r="N15" s="32">
        <f t="shared" si="1"/>
        <v>405</v>
      </c>
      <c r="O15" s="32">
        <f t="shared" si="1"/>
        <v>418.5</v>
      </c>
      <c r="P15" s="32">
        <f>SUM(D15:O15)</f>
        <v>4927.5</v>
      </c>
      <c r="T15" s="36"/>
      <c r="U15" s="34"/>
    </row>
    <row r="16" spans="1:29" ht="12" customHeight="1" x14ac:dyDescent="0.25">
      <c r="A16" s="25">
        <v>2015</v>
      </c>
      <c r="B16" s="26" t="s">
        <v>33</v>
      </c>
      <c r="C16" s="30" t="s">
        <v>26</v>
      </c>
      <c r="D16" s="32">
        <f>D11-D15</f>
        <v>949.49</v>
      </c>
      <c r="E16" s="32">
        <f>E11-E15</f>
        <v>675.38000000000011</v>
      </c>
      <c r="F16" s="32">
        <f>F11-F15</f>
        <v>500.03999999999996</v>
      </c>
      <c r="G16" s="32">
        <f>G11-G15</f>
        <v>411.04999999999995</v>
      </c>
      <c r="H16" s="43">
        <v>150</v>
      </c>
      <c r="I16" s="43">
        <v>78</v>
      </c>
      <c r="J16" s="32">
        <v>40</v>
      </c>
      <c r="K16" s="32">
        <v>30</v>
      </c>
      <c r="L16" s="32">
        <f>L11-L15</f>
        <v>-4</v>
      </c>
      <c r="M16" s="32">
        <f>M11-M15</f>
        <v>383.5</v>
      </c>
      <c r="N16" s="32">
        <f>N11-N15</f>
        <v>482</v>
      </c>
      <c r="O16" s="32">
        <f>O11-O15</f>
        <v>711.5</v>
      </c>
      <c r="P16" s="32">
        <f>SUM(D16:O16)</f>
        <v>4406.96</v>
      </c>
      <c r="R16" s="35"/>
      <c r="T16" s="36"/>
      <c r="U16" s="34"/>
    </row>
    <row r="17" spans="1:29" ht="12" customHeight="1" x14ac:dyDescent="0.25">
      <c r="A17" s="25">
        <v>2015</v>
      </c>
      <c r="B17" s="26" t="s">
        <v>34</v>
      </c>
      <c r="C17" s="30" t="s">
        <v>26</v>
      </c>
      <c r="D17" s="32">
        <f>IF(D16&lt;0,0,((D14/D13))*D16)</f>
        <v>1069.2328041543026</v>
      </c>
      <c r="E17" s="32">
        <f>IF(E16&lt;0,0,((E14/E13))*E16)</f>
        <v>900.93629770992379</v>
      </c>
      <c r="F17" s="32">
        <f>IF(F16&lt;0,0,((F14/F13))*F16)</f>
        <v>614.90067326732662</v>
      </c>
      <c r="G17" s="32">
        <f>IF(G16&lt;0,0,((G14/G13))*G16)</f>
        <v>426.94110824742268</v>
      </c>
      <c r="H17" s="32">
        <f>IF(H16&lt;0,0,((H14/H13))*H16)</f>
        <v>134.51086956521738</v>
      </c>
      <c r="I17" s="32">
        <f>I16</f>
        <v>78</v>
      </c>
      <c r="J17" s="32">
        <f>J16</f>
        <v>40</v>
      </c>
      <c r="K17" s="32">
        <f>K16</f>
        <v>30</v>
      </c>
      <c r="L17" s="32">
        <f>IF(L16&lt;0,0,((L14/L13))*L16)</f>
        <v>0</v>
      </c>
      <c r="M17" s="32">
        <f>IF(M16&lt;0,0,((M14/M13))*M16)</f>
        <v>379.56666666666666</v>
      </c>
      <c r="N17" s="32">
        <f>IF(N16&lt;0,0,((N14/N13))*N16)</f>
        <v>610.60788863109053</v>
      </c>
      <c r="O17" s="32">
        <f>IF(O16&lt;0,0,((O14/O13))*O16)</f>
        <v>974.96633663366345</v>
      </c>
      <c r="P17" s="33">
        <f>SUM(D17:O17)</f>
        <v>5259.6626448756133</v>
      </c>
      <c r="Q17" s="44"/>
      <c r="R17" s="45">
        <f>P16-P12</f>
        <v>2212.42</v>
      </c>
      <c r="T17" s="36"/>
      <c r="U17" s="34"/>
    </row>
    <row r="18" spans="1:29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9" ht="12" customHeight="1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29" ht="12" customHeight="1" x14ac:dyDescent="0.25">
      <c r="A20" s="9" t="s">
        <v>35</v>
      </c>
      <c r="B20" s="10"/>
      <c r="C20" s="9" t="s">
        <v>5</v>
      </c>
      <c r="D20" s="4">
        <f t="shared" ref="D20:O20" si="2">D11/D7</f>
        <v>44.128709677419359</v>
      </c>
      <c r="E20" s="4">
        <f t="shared" si="2"/>
        <v>37.620714285714293</v>
      </c>
      <c r="F20" s="4">
        <f t="shared" si="2"/>
        <v>29.63032258064516</v>
      </c>
      <c r="G20" s="4">
        <f t="shared" si="2"/>
        <v>27.201666666666664</v>
      </c>
      <c r="H20" s="4">
        <f t="shared" si="2"/>
        <v>17.778709677419354</v>
      </c>
      <c r="I20" s="4">
        <f t="shared" si="2"/>
        <v>14.213333333333333</v>
      </c>
      <c r="J20" s="4">
        <f t="shared" si="2"/>
        <v>12.04967741935484</v>
      </c>
      <c r="K20" s="4">
        <f t="shared" si="2"/>
        <v>11.45774193548387</v>
      </c>
      <c r="L20" s="4">
        <f t="shared" si="2"/>
        <v>13.366666666666667</v>
      </c>
      <c r="M20" s="4">
        <f t="shared" si="2"/>
        <v>25.870967741935484</v>
      </c>
      <c r="N20" s="4">
        <f t="shared" si="2"/>
        <v>29.566666666666666</v>
      </c>
      <c r="O20" s="4">
        <f t="shared" si="2"/>
        <v>36.451612903225808</v>
      </c>
      <c r="P20" s="4">
        <f>P10/365</f>
        <v>0</v>
      </c>
    </row>
    <row r="21" spans="1:29" ht="12" customHeight="1" x14ac:dyDescent="0.3">
      <c r="A21" s="10"/>
      <c r="B21" s="47" t="s">
        <v>36</v>
      </c>
      <c r="C21" s="11" t="s">
        <v>26</v>
      </c>
      <c r="D21" s="4">
        <f>SUM(D11)</f>
        <v>1367.99</v>
      </c>
      <c r="E21" s="4">
        <f>SUM($D$11:E11)</f>
        <v>2421.37</v>
      </c>
      <c r="F21" s="4">
        <f>SUM($D$11:F11)</f>
        <v>3339.91</v>
      </c>
      <c r="G21" s="4">
        <f>SUM($D$11:G11)</f>
        <v>4155.96</v>
      </c>
      <c r="H21" s="4">
        <f>SUM($D$11:H11)</f>
        <v>4707.1000000000004</v>
      </c>
      <c r="I21" s="4">
        <f>SUM($D$11:I11)</f>
        <v>5133.5</v>
      </c>
      <c r="J21" s="4">
        <f>SUM($D$11:J11)</f>
        <v>5507.04</v>
      </c>
      <c r="K21" s="4">
        <f>SUM($D$11:K11)</f>
        <v>5862.23</v>
      </c>
      <c r="L21" s="4">
        <f>SUM($D$11:L11)</f>
        <v>6263.23</v>
      </c>
      <c r="M21" s="4">
        <f>SUM($D$11:M11)</f>
        <v>7065.23</v>
      </c>
      <c r="N21" s="4">
        <f>SUM($D$11:N11)</f>
        <v>7952.23</v>
      </c>
      <c r="O21" s="4">
        <f>SUM($D$11:O11)</f>
        <v>9082.23</v>
      </c>
      <c r="P21" s="4"/>
    </row>
    <row r="22" spans="1:29" ht="12" customHeight="1" x14ac:dyDescent="0.3">
      <c r="A22" s="10"/>
      <c r="B22" s="47" t="s">
        <v>37</v>
      </c>
      <c r="C22" s="11" t="s">
        <v>26</v>
      </c>
      <c r="D22" s="4">
        <f>SUM(D12)</f>
        <v>296.56</v>
      </c>
      <c r="E22" s="4">
        <f>SUM($D$12:E12)</f>
        <v>579.52</v>
      </c>
      <c r="F22" s="4">
        <f>SUM($D$12:F12)</f>
        <v>872.42</v>
      </c>
      <c r="G22" s="4">
        <f>SUM($D$12:G12)</f>
        <v>1062.42</v>
      </c>
      <c r="H22" s="4">
        <f>SUM($D$12:H12)</f>
        <v>1164.42</v>
      </c>
      <c r="I22" s="4">
        <f>SUM($D$12:I12)</f>
        <v>1242.42</v>
      </c>
      <c r="J22" s="4">
        <f>SUM($D$12:J12)</f>
        <v>1282.42</v>
      </c>
      <c r="K22" s="4">
        <f>SUM($D$12:K12)</f>
        <v>1312.42</v>
      </c>
      <c r="L22" s="4">
        <f>SUM($D$12:L12)</f>
        <v>1361.42</v>
      </c>
      <c r="M22" s="4">
        <f>SUM($D$12:M12)</f>
        <v>1634.42</v>
      </c>
      <c r="N22" s="4">
        <f>SUM($D$12:N12)</f>
        <v>1901.64</v>
      </c>
      <c r="O22" s="4">
        <f>SUM($D$12:O12)</f>
        <v>2194.54</v>
      </c>
      <c r="P22" s="4"/>
      <c r="R22" s="36"/>
    </row>
    <row r="23" spans="1:29" ht="12" customHeight="1" x14ac:dyDescent="0.3">
      <c r="A23" s="10"/>
      <c r="B23" s="47" t="s">
        <v>38</v>
      </c>
      <c r="C23" s="11" t="s">
        <v>26</v>
      </c>
      <c r="D23" s="4">
        <f>SUM(D16)</f>
        <v>949.49</v>
      </c>
      <c r="E23" s="4">
        <f>SUM($D$16:E16)</f>
        <v>1624.8700000000001</v>
      </c>
      <c r="F23" s="4">
        <f>SUM($D$16:F16)</f>
        <v>2124.91</v>
      </c>
      <c r="G23" s="4">
        <f>SUM($D$16:G16)</f>
        <v>2535.96</v>
      </c>
      <c r="H23" s="4">
        <f>SUM($D$16:H16)</f>
        <v>2685.96</v>
      </c>
      <c r="I23" s="4">
        <f>SUM($D$16:I16)</f>
        <v>2763.96</v>
      </c>
      <c r="J23" s="4">
        <f>SUM($D$16:J16)</f>
        <v>2803.96</v>
      </c>
      <c r="K23" s="4">
        <f>SUM($D$16:K16)</f>
        <v>2833.96</v>
      </c>
      <c r="L23" s="4">
        <f>SUM($D$16:L16)</f>
        <v>2829.96</v>
      </c>
      <c r="M23" s="4">
        <f>SUM($D$16:M16)</f>
        <v>3213.46</v>
      </c>
      <c r="N23" s="4">
        <f>SUM($D$16:N16)</f>
        <v>3695.46</v>
      </c>
      <c r="O23" s="4">
        <f>SUM($D$16:O16)</f>
        <v>4406.96</v>
      </c>
      <c r="P23" s="4"/>
      <c r="R23" s="36"/>
      <c r="S23" s="48"/>
    </row>
    <row r="24" spans="1:29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/>
      <c r="S24" s="48"/>
    </row>
    <row r="25" spans="1:29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14"/>
      <c r="U25" s="50"/>
      <c r="V25" s="34"/>
    </row>
    <row r="26" spans="1:29" ht="12" customHeight="1" x14ac:dyDescent="0.25">
      <c r="A26" s="9"/>
      <c r="B26" s="9" t="s">
        <v>40</v>
      </c>
      <c r="C26" s="9"/>
      <c r="D26" s="51">
        <f t="shared" ref="D26:P26" si="3">D16/D11</f>
        <v>0.69407671108706936</v>
      </c>
      <c r="E26" s="51">
        <f t="shared" si="3"/>
        <v>0.64115513869638696</v>
      </c>
      <c r="F26" s="51">
        <f t="shared" si="3"/>
        <v>0.54438565549676654</v>
      </c>
      <c r="G26" s="51">
        <f t="shared" si="3"/>
        <v>0.50370688070583902</v>
      </c>
      <c r="H26" s="51">
        <f t="shared" si="3"/>
        <v>0.27216315273796132</v>
      </c>
      <c r="I26" s="51">
        <f t="shared" si="3"/>
        <v>0.18292682926829268</v>
      </c>
      <c r="J26" s="51">
        <f t="shared" si="3"/>
        <v>0.10708357873320126</v>
      </c>
      <c r="K26" s="51">
        <f t="shared" si="3"/>
        <v>8.446183732650131E-2</v>
      </c>
      <c r="L26" s="51">
        <f t="shared" si="3"/>
        <v>-9.9750623441396506E-3</v>
      </c>
      <c r="M26" s="51">
        <f t="shared" si="3"/>
        <v>0.47817955112219451</v>
      </c>
      <c r="N26" s="51">
        <f t="shared" si="3"/>
        <v>0.54340473506200682</v>
      </c>
      <c r="O26" s="51">
        <f t="shared" si="3"/>
        <v>0.62964601769911499</v>
      </c>
      <c r="P26" s="51">
        <f t="shared" si="3"/>
        <v>0.48522884798116767</v>
      </c>
      <c r="Q26" s="34"/>
      <c r="R26" s="34"/>
      <c r="S26" s="34"/>
      <c r="T26" s="34"/>
      <c r="U26" s="34"/>
      <c r="V26" s="34"/>
      <c r="W26" s="9"/>
      <c r="X26" s="9"/>
      <c r="Y26" s="9"/>
      <c r="Z26" s="9"/>
      <c r="AA26" s="9"/>
      <c r="AB26" s="9"/>
      <c r="AC26" s="9"/>
    </row>
    <row r="27" spans="1:29" ht="12" customHeight="1" x14ac:dyDescent="0.3">
      <c r="B27" s="47" t="s">
        <v>41</v>
      </c>
      <c r="C27" s="9" t="s">
        <v>42</v>
      </c>
      <c r="D27" s="4">
        <f t="shared" ref="D27:P27" si="4">D16/D13</f>
        <v>1.4087388724035608</v>
      </c>
      <c r="E27" s="4">
        <f t="shared" si="4"/>
        <v>1.2888931297709927</v>
      </c>
      <c r="F27" s="4">
        <f t="shared" si="4"/>
        <v>0.99017821782178206</v>
      </c>
      <c r="G27" s="4">
        <f t="shared" si="4"/>
        <v>1.0594072164948451</v>
      </c>
      <c r="H27" s="4">
        <f t="shared" si="4"/>
        <v>0.81521739130434778</v>
      </c>
      <c r="I27" s="4">
        <f t="shared" si="4"/>
        <v>9.75</v>
      </c>
      <c r="J27" s="4">
        <f t="shared" si="4"/>
        <v>8</v>
      </c>
      <c r="K27" s="4" t="e">
        <f t="shared" si="4"/>
        <v>#DIV/0!</v>
      </c>
      <c r="L27" s="4">
        <f t="shared" si="4"/>
        <v>-5.7142857142857141E-2</v>
      </c>
      <c r="M27" s="4">
        <f t="shared" si="4"/>
        <v>0.98333333333333328</v>
      </c>
      <c r="N27" s="4">
        <f t="shared" si="4"/>
        <v>1.1183294663573087</v>
      </c>
      <c r="O27" s="4">
        <f t="shared" si="4"/>
        <v>1.4089108910891088</v>
      </c>
      <c r="P27" s="4">
        <f t="shared" si="4"/>
        <v>1.1962432138979371</v>
      </c>
      <c r="T27" s="36"/>
      <c r="U27" s="14"/>
    </row>
    <row r="28" spans="1:29" ht="12" customHeight="1" x14ac:dyDescent="0.3">
      <c r="B28" s="47" t="s">
        <v>41</v>
      </c>
      <c r="C28" s="11" t="s">
        <v>5</v>
      </c>
      <c r="D28" s="4">
        <f t="shared" ref="D28:P28" si="5">D16/D7</f>
        <v>30.628709677419355</v>
      </c>
      <c r="E28" s="4">
        <f t="shared" si="5"/>
        <v>24.120714285714289</v>
      </c>
      <c r="F28" s="4">
        <f t="shared" si="5"/>
        <v>16.13032258064516</v>
      </c>
      <c r="G28" s="4">
        <f t="shared" si="5"/>
        <v>13.701666666666664</v>
      </c>
      <c r="H28" s="4">
        <f t="shared" si="5"/>
        <v>4.838709677419355</v>
      </c>
      <c r="I28" s="4">
        <f t="shared" si="5"/>
        <v>2.6</v>
      </c>
      <c r="J28" s="4">
        <f t="shared" si="5"/>
        <v>1.2903225806451613</v>
      </c>
      <c r="K28" s="4">
        <f t="shared" si="5"/>
        <v>0.967741935483871</v>
      </c>
      <c r="L28" s="4">
        <f t="shared" si="5"/>
        <v>-0.13333333333333333</v>
      </c>
      <c r="M28" s="4">
        <f t="shared" si="5"/>
        <v>12.370967741935484</v>
      </c>
      <c r="N28" s="4">
        <f t="shared" si="5"/>
        <v>16.066666666666666</v>
      </c>
      <c r="O28" s="4">
        <f t="shared" si="5"/>
        <v>22.951612903225808</v>
      </c>
      <c r="P28" s="4">
        <f t="shared" si="5"/>
        <v>12.073863013698631</v>
      </c>
      <c r="S28" s="36"/>
      <c r="T28" s="52"/>
      <c r="U28" s="34"/>
    </row>
    <row r="29" spans="1:29" ht="12" customHeight="1" x14ac:dyDescent="0.3">
      <c r="B29" s="47" t="s">
        <v>43</v>
      </c>
      <c r="C29" s="11" t="s">
        <v>5</v>
      </c>
      <c r="D29" s="4">
        <f t="shared" ref="D29:P29" si="6">D17/D7</f>
        <v>34.491380779171052</v>
      </c>
      <c r="E29" s="4">
        <f t="shared" si="6"/>
        <v>32.176296346782991</v>
      </c>
      <c r="F29" s="4">
        <f t="shared" si="6"/>
        <v>19.8355055892686</v>
      </c>
      <c r="G29" s="4">
        <f t="shared" si="6"/>
        <v>14.23137027491409</v>
      </c>
      <c r="H29" s="4">
        <f t="shared" si="6"/>
        <v>4.3390603085553989</v>
      </c>
      <c r="I29" s="4">
        <f t="shared" si="6"/>
        <v>2.6</v>
      </c>
      <c r="J29" s="4">
        <f t="shared" si="6"/>
        <v>1.2903225806451613</v>
      </c>
      <c r="K29" s="4">
        <f t="shared" si="6"/>
        <v>0.967741935483871</v>
      </c>
      <c r="L29" s="4">
        <f t="shared" si="6"/>
        <v>0</v>
      </c>
      <c r="M29" s="4">
        <f t="shared" si="6"/>
        <v>12.244086021505376</v>
      </c>
      <c r="N29" s="4">
        <f t="shared" si="6"/>
        <v>20.353596287703017</v>
      </c>
      <c r="O29" s="4">
        <f t="shared" si="6"/>
        <v>31.450526988182691</v>
      </c>
      <c r="P29" s="4">
        <f t="shared" si="6"/>
        <v>14.41003464349483</v>
      </c>
      <c r="U29" s="34"/>
    </row>
    <row r="30" spans="1:29" ht="12" customHeight="1" x14ac:dyDescent="0.3">
      <c r="B30" s="47" t="s">
        <v>44</v>
      </c>
      <c r="C30" s="47" t="s">
        <v>45</v>
      </c>
      <c r="D30" s="4">
        <f t="shared" ref="D30:P30" si="7">D16/$F$4</f>
        <v>3.4252886002886003</v>
      </c>
      <c r="E30" s="4">
        <f t="shared" si="7"/>
        <v>2.4364357864357871</v>
      </c>
      <c r="F30" s="4">
        <f t="shared" si="7"/>
        <v>1.8038961038961039</v>
      </c>
      <c r="G30" s="4">
        <f t="shared" si="7"/>
        <v>1.4828643578643577</v>
      </c>
      <c r="H30" s="4">
        <f t="shared" si="7"/>
        <v>0.54112554112554112</v>
      </c>
      <c r="I30" s="4">
        <f t="shared" si="7"/>
        <v>0.2813852813852814</v>
      </c>
      <c r="J30" s="4">
        <f t="shared" si="7"/>
        <v>0.14430014430014432</v>
      </c>
      <c r="K30" s="4">
        <f t="shared" si="7"/>
        <v>0.10822510822510822</v>
      </c>
      <c r="L30" s="4">
        <f t="shared" si="7"/>
        <v>-1.443001443001443E-2</v>
      </c>
      <c r="M30" s="4">
        <f t="shared" si="7"/>
        <v>1.3834776334776335</v>
      </c>
      <c r="N30" s="4">
        <f t="shared" si="7"/>
        <v>1.7388167388167388</v>
      </c>
      <c r="O30" s="4">
        <f t="shared" si="7"/>
        <v>2.566738816738817</v>
      </c>
      <c r="P30" s="4">
        <f t="shared" si="7"/>
        <v>15.898124098124098</v>
      </c>
      <c r="U30" s="34"/>
    </row>
    <row r="31" spans="1:29" ht="12" customHeight="1" x14ac:dyDescent="0.3">
      <c r="B31" s="47" t="s">
        <v>44</v>
      </c>
      <c r="C31" s="47" t="s">
        <v>46</v>
      </c>
      <c r="D31" s="4">
        <f t="shared" ref="D31:P31" si="8">D16/$F$3</f>
        <v>8.6317272727272734</v>
      </c>
      <c r="E31" s="4">
        <f t="shared" si="8"/>
        <v>6.1398181818181827</v>
      </c>
      <c r="F31" s="4">
        <f t="shared" si="8"/>
        <v>4.5458181818181815</v>
      </c>
      <c r="G31" s="4">
        <f t="shared" si="8"/>
        <v>3.7368181818181814</v>
      </c>
      <c r="H31" s="4">
        <f t="shared" si="8"/>
        <v>1.3636363636363635</v>
      </c>
      <c r="I31" s="4">
        <f t="shared" si="8"/>
        <v>0.70909090909090911</v>
      </c>
      <c r="J31" s="4">
        <f t="shared" si="8"/>
        <v>0.36363636363636365</v>
      </c>
      <c r="K31" s="4">
        <f t="shared" si="8"/>
        <v>0.27272727272727271</v>
      </c>
      <c r="L31" s="4">
        <f t="shared" si="8"/>
        <v>-3.6363636363636362E-2</v>
      </c>
      <c r="M31" s="4">
        <f t="shared" si="8"/>
        <v>3.4863636363636363</v>
      </c>
      <c r="N31" s="4">
        <f t="shared" si="8"/>
        <v>4.3818181818181818</v>
      </c>
      <c r="O31" s="4">
        <f t="shared" si="8"/>
        <v>6.4681818181818178</v>
      </c>
      <c r="P31" s="4">
        <f t="shared" si="8"/>
        <v>40.063272727272725</v>
      </c>
      <c r="U31" s="34"/>
    </row>
    <row r="32" spans="1:29" ht="12" customHeight="1" x14ac:dyDescent="0.3">
      <c r="B32" s="47" t="s">
        <v>47</v>
      </c>
      <c r="C32" s="47" t="s">
        <v>45</v>
      </c>
      <c r="D32" s="4">
        <f t="shared" ref="D32:P32" si="9">D17/$F$4</f>
        <v>3.8572611982478451</v>
      </c>
      <c r="E32" s="4">
        <f t="shared" si="9"/>
        <v>3.2501309441194945</v>
      </c>
      <c r="F32" s="4">
        <f t="shared" si="9"/>
        <v>2.218256397068278</v>
      </c>
      <c r="G32" s="4">
        <f t="shared" si="9"/>
        <v>1.5401915881941655</v>
      </c>
      <c r="H32" s="4">
        <f t="shared" si="9"/>
        <v>0.4852484472049689</v>
      </c>
      <c r="I32" s="4">
        <f t="shared" si="9"/>
        <v>0.2813852813852814</v>
      </c>
      <c r="J32" s="4">
        <f t="shared" si="9"/>
        <v>0.14430014430014432</v>
      </c>
      <c r="K32" s="4">
        <f t="shared" si="9"/>
        <v>0.10822510822510822</v>
      </c>
      <c r="L32" s="4">
        <f t="shared" si="9"/>
        <v>0</v>
      </c>
      <c r="M32" s="4">
        <f t="shared" si="9"/>
        <v>1.3692881192881192</v>
      </c>
      <c r="N32" s="4">
        <f t="shared" si="9"/>
        <v>2.20277016100682</v>
      </c>
      <c r="O32" s="4">
        <f t="shared" si="9"/>
        <v>3.5171945766005175</v>
      </c>
      <c r="P32" s="4">
        <f t="shared" si="9"/>
        <v>18.974251965640743</v>
      </c>
      <c r="U32" s="34"/>
    </row>
    <row r="33" spans="1:16" ht="12" customHeight="1" x14ac:dyDescent="0.3">
      <c r="B33" s="47" t="s">
        <v>47</v>
      </c>
      <c r="C33" s="47" t="s">
        <v>46</v>
      </c>
      <c r="D33" s="4">
        <f t="shared" ref="D33:P33" si="10">D17/$F$3</f>
        <v>9.7202982195845689</v>
      </c>
      <c r="E33" s="4">
        <f t="shared" si="10"/>
        <v>8.1903299791811257</v>
      </c>
      <c r="F33" s="4">
        <f t="shared" si="10"/>
        <v>5.5900061206120606</v>
      </c>
      <c r="G33" s="4">
        <f t="shared" si="10"/>
        <v>3.8812828022492969</v>
      </c>
      <c r="H33" s="4">
        <f t="shared" si="10"/>
        <v>1.2228260869565215</v>
      </c>
      <c r="I33" s="4">
        <f t="shared" si="10"/>
        <v>0.70909090909090911</v>
      </c>
      <c r="J33" s="4">
        <f t="shared" si="10"/>
        <v>0.36363636363636365</v>
      </c>
      <c r="K33" s="4">
        <f t="shared" si="10"/>
        <v>0.27272727272727271</v>
      </c>
      <c r="L33" s="4">
        <f t="shared" si="10"/>
        <v>0</v>
      </c>
      <c r="M33" s="4">
        <f t="shared" si="10"/>
        <v>3.4506060606060607</v>
      </c>
      <c r="N33" s="4">
        <f t="shared" si="10"/>
        <v>5.5509808057371863</v>
      </c>
      <c r="O33" s="4">
        <f t="shared" si="10"/>
        <v>8.8633303330333035</v>
      </c>
      <c r="P33" s="4">
        <f t="shared" si="10"/>
        <v>47.815114953414664</v>
      </c>
    </row>
    <row r="34" spans="1:16" ht="12" customHeight="1" x14ac:dyDescent="0.3">
      <c r="B34" s="47" t="s">
        <v>44</v>
      </c>
      <c r="C34" s="47" t="s">
        <v>48</v>
      </c>
      <c r="D34" s="4">
        <f t="shared" ref="D34:P34" si="11">1000*D30/D13</f>
        <v>5.0820305642264101</v>
      </c>
      <c r="E34" s="4">
        <f t="shared" si="11"/>
        <v>4.6496866153354715</v>
      </c>
      <c r="F34" s="4">
        <f t="shared" si="11"/>
        <v>3.572071492863572</v>
      </c>
      <c r="G34" s="4">
        <f t="shared" si="11"/>
        <v>3.8218153553205099</v>
      </c>
      <c r="H34" s="4">
        <f t="shared" si="11"/>
        <v>2.9408996800301144</v>
      </c>
      <c r="I34" s="4">
        <f t="shared" si="11"/>
        <v>35.173160173160177</v>
      </c>
      <c r="J34" s="4">
        <f t="shared" si="11"/>
        <v>28.860028860028866</v>
      </c>
      <c r="K34" s="4" t="e">
        <f t="shared" si="11"/>
        <v>#DIV/0!</v>
      </c>
      <c r="L34" s="4">
        <f t="shared" si="11"/>
        <v>-0.20614306328592041</v>
      </c>
      <c r="M34" s="4">
        <f t="shared" si="11"/>
        <v>3.5473785473785475</v>
      </c>
      <c r="N34" s="4">
        <f t="shared" si="11"/>
        <v>4.0343775842615752</v>
      </c>
      <c r="O34" s="4">
        <f t="shared" si="11"/>
        <v>5.0826511222550836</v>
      </c>
      <c r="P34" s="4">
        <f t="shared" si="11"/>
        <v>4.3154517095885172</v>
      </c>
    </row>
    <row r="35" spans="1:16" ht="12" customHeight="1" x14ac:dyDescent="0.25">
      <c r="D35" s="36"/>
      <c r="E35" s="36"/>
      <c r="F35" s="36"/>
      <c r="G35" s="36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2" customHeight="1" x14ac:dyDescent="0.3">
      <c r="B38" s="47" t="s">
        <v>50</v>
      </c>
      <c r="D38" s="13">
        <f>4400*1.3</f>
        <v>5720</v>
      </c>
      <c r="E38" s="11" t="s">
        <v>26</v>
      </c>
      <c r="F38" s="51">
        <f>D38/$D$40</f>
        <v>0.53721530875792445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</row>
    <row r="39" spans="1:16" ht="12" customHeight="1" x14ac:dyDescent="0.25">
      <c r="B39" s="53" t="s">
        <v>53</v>
      </c>
      <c r="C39" s="53"/>
      <c r="D39" s="54">
        <f>K3*365</f>
        <v>4927.5</v>
      </c>
      <c r="E39" s="55" t="s">
        <v>26</v>
      </c>
      <c r="F39" s="51">
        <f>D39/$D$40</f>
        <v>0.46278469124207561</v>
      </c>
      <c r="G39" s="11" t="s">
        <v>54</v>
      </c>
      <c r="H39" s="4"/>
      <c r="I39" s="4"/>
      <c r="J39" s="4"/>
      <c r="K39" s="4">
        <f>K38-D38</f>
        <v>2846</v>
      </c>
      <c r="L39" s="11" t="s">
        <v>26</v>
      </c>
      <c r="M39" s="4"/>
      <c r="N39" s="13">
        <f>'2007'!I36</f>
        <v>14540</v>
      </c>
      <c r="O39" s="11" t="s">
        <v>26</v>
      </c>
      <c r="P39" s="4"/>
    </row>
    <row r="40" spans="1:16" ht="12" customHeight="1" x14ac:dyDescent="0.3">
      <c r="B40" s="47" t="s">
        <v>22</v>
      </c>
      <c r="D40" s="13">
        <f>SUM(D38:D39)</f>
        <v>10647.5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0.33224375437777259</v>
      </c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0.21091636713973394</v>
      </c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2" customHeight="1" x14ac:dyDescent="0.3">
      <c r="A51" s="47" t="s">
        <v>57</v>
      </c>
      <c r="D51" s="4" t="s">
        <v>58</v>
      </c>
      <c r="E51" s="4" t="s">
        <v>59</v>
      </c>
      <c r="F51" s="4" t="s">
        <v>60</v>
      </c>
      <c r="G51" s="11" t="s">
        <v>61</v>
      </c>
      <c r="H51" s="4"/>
      <c r="I51" s="4"/>
      <c r="J51" s="4"/>
      <c r="K51" s="4"/>
      <c r="L51" s="4"/>
      <c r="M51" s="4"/>
      <c r="N51" s="4"/>
      <c r="O51" s="4"/>
      <c r="P51" s="4"/>
    </row>
    <row r="52" spans="1:16" ht="12" customHeight="1" x14ac:dyDescent="0.25">
      <c r="B52" s="56">
        <v>41633</v>
      </c>
      <c r="D52" s="4">
        <v>495.16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2" customHeight="1" x14ac:dyDescent="0.25">
      <c r="B53" s="56">
        <v>41645</v>
      </c>
      <c r="D53" s="4">
        <v>584.70000000000005</v>
      </c>
      <c r="E53" s="13">
        <f t="shared" ref="E53:E73" si="12">DAYS360(B52,B53)</f>
        <v>11</v>
      </c>
      <c r="F53" s="4">
        <f t="shared" ref="F53:F73" si="13">(D53-D52)/E53</f>
        <v>8.1400000000000023</v>
      </c>
      <c r="G53" s="13">
        <v>195</v>
      </c>
      <c r="H53" s="57">
        <f t="shared" ref="H53:H58" si="14">(D53-D52)/G53</f>
        <v>0.45917948717948731</v>
      </c>
      <c r="I53" s="4"/>
      <c r="J53" s="4"/>
      <c r="K53" s="4"/>
      <c r="L53" s="4"/>
      <c r="M53" s="4"/>
      <c r="N53" s="4"/>
      <c r="O53" s="4"/>
      <c r="P53" s="4"/>
    </row>
    <row r="54" spans="1:16" ht="12" customHeight="1" x14ac:dyDescent="0.25">
      <c r="B54" s="56">
        <v>41692</v>
      </c>
      <c r="D54" s="4">
        <v>1079.44</v>
      </c>
      <c r="E54" s="13">
        <f t="shared" si="12"/>
        <v>46</v>
      </c>
      <c r="F54" s="4">
        <f t="shared" si="13"/>
        <v>10.755217391304347</v>
      </c>
      <c r="G54" s="13">
        <v>1116</v>
      </c>
      <c r="H54" s="57">
        <f t="shared" si="14"/>
        <v>0.44331541218637993</v>
      </c>
      <c r="I54" s="4"/>
      <c r="J54" s="4"/>
      <c r="K54" s="4"/>
      <c r="L54" s="4"/>
      <c r="M54" s="4"/>
      <c r="N54" s="4"/>
      <c r="O54" s="4"/>
      <c r="P54" s="4"/>
    </row>
    <row r="55" spans="1:16" ht="12" customHeight="1" x14ac:dyDescent="0.25">
      <c r="B55" s="56">
        <v>41720</v>
      </c>
      <c r="D55" s="4">
        <v>1376.73</v>
      </c>
      <c r="E55" s="13">
        <f t="shared" si="12"/>
        <v>30</v>
      </c>
      <c r="F55" s="4">
        <f t="shared" si="13"/>
        <v>9.9096666666666646</v>
      </c>
      <c r="G55" s="13">
        <v>459</v>
      </c>
      <c r="H55" s="57">
        <f t="shared" si="14"/>
        <v>0.64769063180827879</v>
      </c>
      <c r="I55" s="4"/>
      <c r="J55" s="4"/>
      <c r="K55" s="4"/>
      <c r="L55" s="4"/>
      <c r="M55" s="4"/>
      <c r="N55" s="4"/>
      <c r="O55" s="4"/>
      <c r="P55" s="4"/>
    </row>
    <row r="56" spans="1:16" ht="12" customHeight="1" x14ac:dyDescent="0.25">
      <c r="B56" s="56">
        <v>41734</v>
      </c>
      <c r="D56" s="4">
        <v>1545.36</v>
      </c>
      <c r="E56" s="13">
        <f t="shared" si="12"/>
        <v>13</v>
      </c>
      <c r="F56" s="4">
        <f t="shared" si="13"/>
        <v>12.971538461538453</v>
      </c>
      <c r="G56" s="4">
        <v>173</v>
      </c>
      <c r="H56" s="57">
        <f t="shared" si="14"/>
        <v>0.97473988439306292</v>
      </c>
      <c r="I56" s="4"/>
      <c r="J56" s="4"/>
      <c r="K56" s="4"/>
      <c r="L56" s="4"/>
      <c r="M56" s="4"/>
      <c r="N56" s="4" t="s">
        <v>62</v>
      </c>
      <c r="O56" s="4"/>
      <c r="P56" s="4"/>
    </row>
    <row r="57" spans="1:16" ht="12" customHeight="1" x14ac:dyDescent="0.25">
      <c r="B57" s="56">
        <v>41791</v>
      </c>
      <c r="D57" s="4">
        <v>2153</v>
      </c>
      <c r="E57" s="13">
        <f t="shared" si="12"/>
        <v>56</v>
      </c>
      <c r="F57" s="4">
        <f t="shared" si="13"/>
        <v>10.850714285714288</v>
      </c>
      <c r="G57" s="4">
        <v>537</v>
      </c>
      <c r="H57" s="57">
        <f t="shared" si="14"/>
        <v>1.1315456238361268</v>
      </c>
      <c r="I57" s="4"/>
      <c r="J57" s="4"/>
      <c r="K57" s="4"/>
      <c r="L57" s="84">
        <v>41851</v>
      </c>
      <c r="M57" s="84"/>
      <c r="N57" s="4">
        <v>2274.96</v>
      </c>
      <c r="O57" s="4">
        <f>N57-D59</f>
        <v>13.269999999999982</v>
      </c>
      <c r="P57" s="4"/>
    </row>
    <row r="58" spans="1:16" ht="12" customHeight="1" x14ac:dyDescent="0.25">
      <c r="B58" s="56">
        <v>41814</v>
      </c>
      <c r="D58" s="4">
        <v>2233.4699999999998</v>
      </c>
      <c r="E58" s="13">
        <f t="shared" si="12"/>
        <v>23</v>
      </c>
      <c r="F58" s="4">
        <f t="shared" si="13"/>
        <v>3.4986956521739043</v>
      </c>
      <c r="G58" s="4">
        <v>78.2</v>
      </c>
      <c r="H58" s="57">
        <f t="shared" si="14"/>
        <v>1.0290281329923248</v>
      </c>
      <c r="I58" s="4"/>
      <c r="J58" s="4"/>
      <c r="K58" s="4"/>
      <c r="L58" s="4"/>
      <c r="M58" s="4"/>
      <c r="N58" s="4"/>
      <c r="O58" s="4"/>
      <c r="P58" s="4"/>
    </row>
    <row r="59" spans="1:16" ht="12" customHeight="1" x14ac:dyDescent="0.25">
      <c r="B59" s="56">
        <v>41825</v>
      </c>
      <c r="D59" s="4">
        <v>2261.69</v>
      </c>
      <c r="E59" s="13">
        <f t="shared" si="12"/>
        <v>11</v>
      </c>
      <c r="F59" s="4">
        <f t="shared" si="13"/>
        <v>2.5654545454545685</v>
      </c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2" customHeight="1" x14ac:dyDescent="0.25">
      <c r="B60" s="56">
        <v>41852</v>
      </c>
      <c r="D60" s="4">
        <v>2274.96</v>
      </c>
      <c r="E60" s="13">
        <f t="shared" si="12"/>
        <v>26</v>
      </c>
      <c r="F60" s="4">
        <f t="shared" si="13"/>
        <v>0.51038461538461466</v>
      </c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2" customHeight="1" x14ac:dyDescent="0.25">
      <c r="B61" s="56">
        <v>41882</v>
      </c>
      <c r="D61" s="4">
        <v>2314.3200000000002</v>
      </c>
      <c r="E61" s="13">
        <f t="shared" si="12"/>
        <v>30</v>
      </c>
      <c r="F61" s="4">
        <f t="shared" si="13"/>
        <v>1.3120000000000043</v>
      </c>
      <c r="G61" s="4">
        <v>13</v>
      </c>
      <c r="H61" s="4"/>
      <c r="I61" s="4">
        <f>D61-D60</f>
        <v>39.360000000000127</v>
      </c>
      <c r="J61" s="4"/>
      <c r="K61" s="4"/>
      <c r="L61" s="4"/>
      <c r="M61" s="4"/>
      <c r="N61" s="4"/>
      <c r="O61" s="4"/>
      <c r="P61" s="4"/>
    </row>
    <row r="62" spans="1:16" ht="12" customHeight="1" x14ac:dyDescent="0.25">
      <c r="B62" s="56">
        <v>41889</v>
      </c>
      <c r="D62" s="4">
        <v>2330.23</v>
      </c>
      <c r="E62" s="13">
        <f t="shared" si="12"/>
        <v>7</v>
      </c>
      <c r="F62" s="4">
        <f t="shared" si="13"/>
        <v>2.2728571428571223</v>
      </c>
      <c r="G62" s="4">
        <f>3.8*7</f>
        <v>26.599999999999998</v>
      </c>
      <c r="H62" s="57">
        <f t="shared" ref="H62:H73" si="15">(D62-D61)/G62</f>
        <v>0.59812030075187428</v>
      </c>
      <c r="I62" s="4"/>
      <c r="J62" s="4"/>
      <c r="K62" s="4"/>
      <c r="L62" s="4"/>
      <c r="M62" s="4"/>
      <c r="N62" s="4"/>
      <c r="O62" s="4"/>
      <c r="P62" s="4"/>
    </row>
    <row r="63" spans="1:16" ht="12" customHeight="1" x14ac:dyDescent="0.25">
      <c r="B63" s="56">
        <v>41929</v>
      </c>
      <c r="D63" s="4">
        <v>2507</v>
      </c>
      <c r="E63" s="13">
        <f t="shared" si="12"/>
        <v>40</v>
      </c>
      <c r="F63" s="4">
        <f t="shared" si="13"/>
        <v>4.4192499999999999</v>
      </c>
      <c r="G63" s="4">
        <f>7*40</f>
        <v>280</v>
      </c>
      <c r="H63" s="57">
        <f t="shared" si="15"/>
        <v>0.63132142857142848</v>
      </c>
      <c r="I63" s="4"/>
      <c r="J63" s="4"/>
      <c r="K63" s="4"/>
      <c r="L63" s="4"/>
      <c r="M63" s="4"/>
      <c r="N63" s="4"/>
      <c r="O63" s="4"/>
      <c r="P63" s="4"/>
    </row>
    <row r="64" spans="1:16" ht="12" customHeight="1" x14ac:dyDescent="0.25">
      <c r="B64" s="56">
        <v>41951</v>
      </c>
      <c r="D64" s="4">
        <v>2695.68</v>
      </c>
      <c r="E64" s="13">
        <f t="shared" si="12"/>
        <v>21</v>
      </c>
      <c r="F64" s="4">
        <f t="shared" si="13"/>
        <v>8.9847619047618963</v>
      </c>
      <c r="G64" s="4">
        <f>21*12.5</f>
        <v>262.5</v>
      </c>
      <c r="H64" s="57">
        <f t="shared" si="15"/>
        <v>0.71878095238095174</v>
      </c>
      <c r="I64" s="4"/>
      <c r="J64" s="4"/>
      <c r="K64" s="4"/>
      <c r="L64" s="4"/>
      <c r="M64" s="4"/>
      <c r="N64" s="4"/>
      <c r="O64" s="4"/>
      <c r="P64" s="4"/>
    </row>
    <row r="65" spans="1:16" ht="12" customHeight="1" x14ac:dyDescent="0.25">
      <c r="A65" s="48"/>
      <c r="B65" s="56">
        <v>42035</v>
      </c>
      <c r="D65" s="4">
        <v>3422.93</v>
      </c>
      <c r="E65" s="13">
        <f t="shared" si="12"/>
        <v>83</v>
      </c>
      <c r="F65" s="4">
        <f t="shared" si="13"/>
        <v>8.7620481927710845</v>
      </c>
      <c r="G65" s="4">
        <v>1643</v>
      </c>
      <c r="H65" s="57">
        <f t="shared" si="15"/>
        <v>0.44263542300669506</v>
      </c>
      <c r="I65" s="4"/>
      <c r="J65" s="4"/>
      <c r="K65" s="4"/>
      <c r="L65" s="4">
        <f>D65-D52</f>
        <v>2927.77</v>
      </c>
      <c r="M65" s="4"/>
      <c r="N65" s="4">
        <f>B65-B52</f>
        <v>402</v>
      </c>
      <c r="O65" s="4"/>
      <c r="P65" s="4">
        <f>L65/N65*365</f>
        <v>2658.2986318407961</v>
      </c>
    </row>
    <row r="66" spans="1:16" ht="12" customHeight="1" x14ac:dyDescent="0.25">
      <c r="A66" s="48"/>
      <c r="B66" s="56">
        <v>42099</v>
      </c>
      <c r="D66" s="4">
        <v>3996.35</v>
      </c>
      <c r="E66" s="13">
        <f t="shared" si="12"/>
        <v>65</v>
      </c>
      <c r="F66" s="4">
        <f t="shared" si="13"/>
        <v>8.8218461538461543</v>
      </c>
      <c r="G66" s="4">
        <f>524+505+80</f>
        <v>1109</v>
      </c>
      <c r="H66" s="57">
        <f t="shared" si="15"/>
        <v>0.5170604147880975</v>
      </c>
      <c r="I66" s="4"/>
      <c r="J66" s="4"/>
      <c r="K66" s="4"/>
      <c r="L66" s="4">
        <f>D66-D65</f>
        <v>573.42000000000007</v>
      </c>
      <c r="M66" s="4"/>
      <c r="N66" s="4"/>
      <c r="O66" s="4"/>
      <c r="P66" s="4"/>
    </row>
    <row r="67" spans="1:16" ht="12" customHeight="1" x14ac:dyDescent="0.25">
      <c r="A67" s="48"/>
      <c r="B67" s="56">
        <v>42127</v>
      </c>
      <c r="D67" s="4">
        <v>4186.01</v>
      </c>
      <c r="E67" s="13">
        <f t="shared" si="12"/>
        <v>28</v>
      </c>
      <c r="F67" s="4">
        <f t="shared" si="13"/>
        <v>6.7735714285714392</v>
      </c>
      <c r="G67" s="4">
        <v>372</v>
      </c>
      <c r="H67" s="57">
        <f t="shared" si="15"/>
        <v>0.50983870967742018</v>
      </c>
      <c r="I67" s="4"/>
      <c r="J67" s="4"/>
      <c r="K67" s="4"/>
      <c r="L67" s="4">
        <f>D67-D66</f>
        <v>189.66000000000031</v>
      </c>
      <c r="M67" s="4"/>
      <c r="N67" s="4"/>
      <c r="O67" s="4"/>
      <c r="P67" s="4"/>
    </row>
    <row r="68" spans="1:16" ht="12" customHeight="1" x14ac:dyDescent="0.25">
      <c r="A68" s="48"/>
      <c r="B68" s="56">
        <v>42148</v>
      </c>
      <c r="D68" s="4">
        <v>4288.13</v>
      </c>
      <c r="E68" s="13">
        <f t="shared" si="12"/>
        <v>21</v>
      </c>
      <c r="F68" s="4">
        <f t="shared" si="13"/>
        <v>4.8628571428571377</v>
      </c>
      <c r="G68" s="4">
        <v>125</v>
      </c>
      <c r="H68" s="57">
        <f t="shared" si="15"/>
        <v>0.81695999999999913</v>
      </c>
      <c r="I68" s="4"/>
      <c r="J68" s="4"/>
      <c r="K68" s="4"/>
      <c r="L68" s="4">
        <f>D68-D67</f>
        <v>102.11999999999989</v>
      </c>
      <c r="M68" s="4"/>
      <c r="N68" s="4"/>
      <c r="O68" s="4"/>
      <c r="P68" s="4"/>
    </row>
    <row r="69" spans="1:16" ht="12" customHeight="1" x14ac:dyDescent="0.25">
      <c r="A69" s="56"/>
      <c r="B69" s="56">
        <v>42180</v>
      </c>
      <c r="D69" s="4">
        <v>4366.53</v>
      </c>
      <c r="E69" s="13">
        <f t="shared" si="12"/>
        <v>31</v>
      </c>
      <c r="F69" s="4">
        <f t="shared" si="13"/>
        <v>2.5290322580645044</v>
      </c>
      <c r="G69" s="4">
        <v>8</v>
      </c>
      <c r="H69" s="57">
        <f t="shared" si="15"/>
        <v>9.7999999999999545</v>
      </c>
      <c r="I69" s="4"/>
      <c r="J69" s="4"/>
      <c r="K69" s="4"/>
      <c r="L69" s="4">
        <f>D69-D68</f>
        <v>78.399999999999636</v>
      </c>
      <c r="M69" s="4"/>
      <c r="N69" s="4"/>
      <c r="O69" s="4"/>
      <c r="P69" s="4"/>
    </row>
    <row r="70" spans="1:16" ht="12" customHeight="1" x14ac:dyDescent="0.25">
      <c r="A70" s="56"/>
      <c r="B70" s="56">
        <v>42233</v>
      </c>
      <c r="D70" s="4">
        <v>4444.18</v>
      </c>
      <c r="E70" s="13">
        <f t="shared" si="12"/>
        <v>52</v>
      </c>
      <c r="F70" s="4">
        <f t="shared" si="13"/>
        <v>1.4932692307692412</v>
      </c>
      <c r="G70" s="4">
        <v>5</v>
      </c>
      <c r="H70" s="57">
        <f t="shared" si="15"/>
        <v>15.530000000000109</v>
      </c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56"/>
      <c r="B71" s="56">
        <v>42295</v>
      </c>
      <c r="D71" s="4">
        <v>4652.76</v>
      </c>
      <c r="E71" s="13">
        <f t="shared" si="12"/>
        <v>61</v>
      </c>
      <c r="F71" s="4">
        <f t="shared" si="13"/>
        <v>3.4193442622950809</v>
      </c>
      <c r="G71" s="4">
        <f>70+18*(17-4)</f>
        <v>304</v>
      </c>
      <c r="H71" s="57">
        <f t="shared" si="15"/>
        <v>0.68611842105263132</v>
      </c>
      <c r="I71" s="4"/>
      <c r="J71" s="4"/>
      <c r="K71" s="4"/>
      <c r="L71" s="4">
        <f>D71-D63</f>
        <v>2145.7600000000002</v>
      </c>
      <c r="M71" s="4"/>
      <c r="N71" s="4"/>
      <c r="O71" s="4"/>
      <c r="P71" s="4"/>
    </row>
    <row r="72" spans="1:16" ht="12" customHeight="1" x14ac:dyDescent="0.25">
      <c r="A72" s="48"/>
      <c r="B72" s="56">
        <v>42346</v>
      </c>
      <c r="D72" s="4">
        <v>5072.0200000000004</v>
      </c>
      <c r="E72" s="13">
        <f t="shared" si="12"/>
        <v>50</v>
      </c>
      <c r="F72" s="4">
        <f t="shared" si="13"/>
        <v>8.3852000000000046</v>
      </c>
      <c r="G72" s="4">
        <f>13.5*50</f>
        <v>675</v>
      </c>
      <c r="H72" s="57">
        <f t="shared" si="15"/>
        <v>0.6211259259259263</v>
      </c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B73" s="56">
        <v>42361</v>
      </c>
      <c r="D73" s="4">
        <v>5193.0200000000004</v>
      </c>
      <c r="E73" s="13">
        <f t="shared" si="12"/>
        <v>15</v>
      </c>
      <c r="F73" s="4">
        <f t="shared" si="13"/>
        <v>8.0666666666666664</v>
      </c>
      <c r="G73" s="4">
        <f>14*15</f>
        <v>210</v>
      </c>
      <c r="H73" s="57">
        <f t="shared" si="15"/>
        <v>0.57619047619047614</v>
      </c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A74" s="4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A75" s="4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A80" s="5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4:16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4:16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4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4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4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4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4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4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4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4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4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4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4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4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4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4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7:M57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0"/>
  <sheetViews>
    <sheetView zoomScaleNormal="100" workbookViewId="0">
      <selection activeCell="P11" sqref="P11:P17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5" width="8.6640625" customWidth="1"/>
    <col min="26" max="26" width="14.6640625" customWidth="1"/>
    <col min="27" max="29" width="8.6640625" customWidth="1"/>
  </cols>
  <sheetData>
    <row r="1" spans="1:29" ht="12" customHeight="1" x14ac:dyDescent="0.3">
      <c r="A1" s="2" t="s">
        <v>0</v>
      </c>
      <c r="D1" s="3">
        <v>2014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61"/>
      <c r="S1" s="62"/>
    </row>
    <row r="2" spans="1:29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2"/>
      <c r="P2" s="4"/>
      <c r="Q2" s="8"/>
      <c r="R2" s="60"/>
    </row>
    <row r="3" spans="1:29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13.5</v>
      </c>
      <c r="L3" s="11" t="s">
        <v>5</v>
      </c>
      <c r="M3" s="4"/>
      <c r="N3" s="4"/>
      <c r="O3" s="32"/>
      <c r="P3" s="4"/>
      <c r="Q3" s="8"/>
    </row>
    <row r="4" spans="1:29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SUM(I11:K11)/92</f>
        <v>12.847826086956522</v>
      </c>
      <c r="L4" s="11" t="s">
        <v>5</v>
      </c>
      <c r="M4" s="11"/>
      <c r="N4" s="11"/>
      <c r="O4" s="64"/>
      <c r="P4" s="11"/>
    </row>
    <row r="5" spans="1:29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9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ht="21" customHeight="1" x14ac:dyDescent="0.25">
      <c r="A8" s="25">
        <v>2015</v>
      </c>
      <c r="B8" s="26" t="s">
        <v>23</v>
      </c>
      <c r="C8" s="30" t="s">
        <v>65</v>
      </c>
      <c r="D8" s="28">
        <v>-9.5</v>
      </c>
      <c r="E8" s="28">
        <v>-1.4</v>
      </c>
      <c r="F8" s="28">
        <v>0.8</v>
      </c>
      <c r="G8" s="28">
        <v>4.9000000000000004</v>
      </c>
      <c r="H8" s="28">
        <v>10.6</v>
      </c>
      <c r="I8" s="28">
        <v>13.4</v>
      </c>
      <c r="J8" s="28">
        <v>20</v>
      </c>
      <c r="K8" s="28">
        <v>17</v>
      </c>
      <c r="L8" s="28">
        <v>11.8</v>
      </c>
      <c r="M8" s="28">
        <v>3.9</v>
      </c>
      <c r="N8" s="28">
        <v>0.5</v>
      </c>
      <c r="O8" s="28">
        <v>-2.5</v>
      </c>
      <c r="P8" s="28">
        <f>AVERAGE(D8:O8)</f>
        <v>5.791666666666667</v>
      </c>
      <c r="T8" s="29"/>
      <c r="U8" s="8"/>
      <c r="Z8" s="83"/>
      <c r="AA8" s="83"/>
    </row>
    <row r="9" spans="1:29" ht="12" customHeight="1" x14ac:dyDescent="0.25">
      <c r="A9" s="25">
        <v>2014</v>
      </c>
      <c r="B9" s="26" t="s">
        <v>67</v>
      </c>
      <c r="C9" s="30" t="s">
        <v>26</v>
      </c>
      <c r="D9" s="32">
        <v>962</v>
      </c>
      <c r="E9" s="32">
        <v>609</v>
      </c>
      <c r="F9" s="32">
        <v>592</v>
      </c>
      <c r="G9" s="32">
        <v>471</v>
      </c>
      <c r="H9" s="32">
        <v>406</v>
      </c>
      <c r="I9" s="32">
        <v>291</v>
      </c>
      <c r="J9" s="32">
        <v>191</v>
      </c>
      <c r="K9" s="32">
        <f>25+293</f>
        <v>318</v>
      </c>
      <c r="L9" s="32">
        <v>439</v>
      </c>
      <c r="M9" s="32">
        <v>831</v>
      </c>
      <c r="N9" s="32">
        <v>976</v>
      </c>
      <c r="O9" s="32">
        <v>1245</v>
      </c>
      <c r="P9" s="32">
        <f>SUM(D9:O9)</f>
        <v>7331</v>
      </c>
      <c r="Q9" s="34"/>
      <c r="S9" s="35"/>
      <c r="T9" s="36"/>
      <c r="U9" s="34"/>
      <c r="W9" s="35"/>
      <c r="Z9" s="37"/>
      <c r="AB9" s="37"/>
      <c r="AC9" s="37"/>
    </row>
    <row r="10" spans="1:29" ht="12" customHeight="1" x14ac:dyDescent="0.25">
      <c r="A10" s="25">
        <v>2014</v>
      </c>
      <c r="B10" s="26" t="s">
        <v>68</v>
      </c>
      <c r="C10" s="30" t="s">
        <v>26</v>
      </c>
      <c r="D10" s="32">
        <v>726</v>
      </c>
      <c r="E10" s="32">
        <v>491</v>
      </c>
      <c r="F10" s="32">
        <v>499</v>
      </c>
      <c r="G10" s="32">
        <v>444</v>
      </c>
      <c r="H10" s="32">
        <v>342</v>
      </c>
      <c r="I10" s="32">
        <v>196</v>
      </c>
      <c r="J10" s="32">
        <v>160</v>
      </c>
      <c r="K10" s="32">
        <v>26</v>
      </c>
      <c r="L10" s="32">
        <v>0</v>
      </c>
      <c r="M10" s="32">
        <v>0</v>
      </c>
      <c r="N10" s="32">
        <v>0</v>
      </c>
      <c r="O10" s="32"/>
      <c r="P10" s="32">
        <f>SUM(D10:O10)</f>
        <v>2884</v>
      </c>
      <c r="Q10" s="34"/>
      <c r="S10" s="35"/>
      <c r="T10" s="36"/>
      <c r="U10" s="34"/>
      <c r="W10" s="35"/>
      <c r="Z10" s="37"/>
      <c r="AB10" s="37"/>
      <c r="AC10" s="37"/>
    </row>
    <row r="11" spans="1:29" ht="12" customHeight="1" x14ac:dyDescent="0.25">
      <c r="A11" s="25">
        <v>2014</v>
      </c>
      <c r="B11" s="26" t="s">
        <v>25</v>
      </c>
      <c r="C11" s="30" t="s">
        <v>26</v>
      </c>
      <c r="D11" s="32">
        <f t="shared" ref="D11:O11" si="0">SUM(D9:D10)</f>
        <v>1688</v>
      </c>
      <c r="E11" s="32">
        <f t="shared" si="0"/>
        <v>1100</v>
      </c>
      <c r="F11" s="32">
        <f t="shared" si="0"/>
        <v>1091</v>
      </c>
      <c r="G11" s="32">
        <f t="shared" si="0"/>
        <v>915</v>
      </c>
      <c r="H11" s="32">
        <f t="shared" si="0"/>
        <v>748</v>
      </c>
      <c r="I11" s="32">
        <f t="shared" si="0"/>
        <v>487</v>
      </c>
      <c r="J11" s="32">
        <f t="shared" si="0"/>
        <v>351</v>
      </c>
      <c r="K11" s="32">
        <f t="shared" si="0"/>
        <v>344</v>
      </c>
      <c r="L11" s="32">
        <f t="shared" si="0"/>
        <v>439</v>
      </c>
      <c r="M11" s="32">
        <f t="shared" si="0"/>
        <v>831</v>
      </c>
      <c r="N11" s="32">
        <f t="shared" si="0"/>
        <v>976</v>
      </c>
      <c r="O11" s="32">
        <f t="shared" si="0"/>
        <v>1245</v>
      </c>
      <c r="P11" s="33">
        <f>SUM(D11:O11)</f>
        <v>10215</v>
      </c>
      <c r="Q11" s="34"/>
      <c r="S11" s="35"/>
      <c r="T11" s="36"/>
      <c r="U11" s="34"/>
      <c r="Z11" s="37"/>
      <c r="AB11" s="37"/>
    </row>
    <row r="12" spans="1:29" ht="12" customHeight="1" x14ac:dyDescent="0.25">
      <c r="A12" s="25">
        <v>2014</v>
      </c>
      <c r="B12" s="26" t="s">
        <v>28</v>
      </c>
      <c r="C12" s="30" t="s">
        <v>26</v>
      </c>
      <c r="D12" s="43">
        <f>0.459*D13</f>
        <v>377.298</v>
      </c>
      <c r="E12" s="43">
        <f>0.443*E13</f>
        <v>228.14500000000001</v>
      </c>
      <c r="F12" s="43">
        <f>0.648*F13</f>
        <v>327.24</v>
      </c>
      <c r="G12" s="43">
        <f>1.132*G13</f>
        <v>384.87999999999994</v>
      </c>
      <c r="H12" s="43">
        <f>1.132*H13</f>
        <v>223.00399999999999</v>
      </c>
      <c r="I12" s="43">
        <f>1.029*I13</f>
        <v>36.015000000000001</v>
      </c>
      <c r="J12" s="32">
        <v>4</v>
      </c>
      <c r="K12" s="43">
        <v>39</v>
      </c>
      <c r="L12" s="43">
        <v>132</v>
      </c>
      <c r="M12" s="43">
        <f>0.63*M13</f>
        <v>255.78</v>
      </c>
      <c r="N12" s="43">
        <f>0.72*N13</f>
        <v>356.4</v>
      </c>
      <c r="O12" s="43">
        <f>0.46*O13</f>
        <v>278.76</v>
      </c>
      <c r="P12" s="43">
        <f>SUM(D12:O12)</f>
        <v>2642.5219999999999</v>
      </c>
      <c r="Q12" s="34"/>
      <c r="R12" s="35"/>
      <c r="S12" s="35"/>
      <c r="T12" s="36"/>
      <c r="U12" s="34"/>
    </row>
    <row r="13" spans="1:29" ht="12" customHeight="1" x14ac:dyDescent="0.25">
      <c r="A13" s="25">
        <v>2014</v>
      </c>
      <c r="B13" s="40" t="s">
        <v>29</v>
      </c>
      <c r="C13" s="30" t="s">
        <v>66</v>
      </c>
      <c r="D13" s="32">
        <v>822</v>
      </c>
      <c r="E13" s="32">
        <v>515</v>
      </c>
      <c r="F13" s="32">
        <v>505</v>
      </c>
      <c r="G13" s="32">
        <v>340</v>
      </c>
      <c r="H13" s="32">
        <v>197</v>
      </c>
      <c r="I13" s="32">
        <v>35</v>
      </c>
      <c r="J13" s="32">
        <v>0</v>
      </c>
      <c r="K13" s="32">
        <v>13</v>
      </c>
      <c r="L13" s="32">
        <v>114</v>
      </c>
      <c r="M13" s="32">
        <v>406</v>
      </c>
      <c r="N13" s="32">
        <v>495</v>
      </c>
      <c r="O13" s="32">
        <v>606</v>
      </c>
      <c r="P13" s="32">
        <f>SUM(D13:O13)</f>
        <v>4048</v>
      </c>
      <c r="Q13" s="42"/>
      <c r="R13" s="42"/>
      <c r="S13" s="35"/>
      <c r="T13" s="36"/>
      <c r="U13" s="34"/>
      <c r="V13" s="35"/>
    </row>
    <row r="14" spans="1:29" ht="12" customHeight="1" x14ac:dyDescent="0.25">
      <c r="A14" s="25">
        <v>2014</v>
      </c>
      <c r="B14" s="40" t="s">
        <v>31</v>
      </c>
      <c r="C14" s="30" t="s">
        <v>66</v>
      </c>
      <c r="D14" s="32">
        <v>759</v>
      </c>
      <c r="E14" s="32">
        <v>699</v>
      </c>
      <c r="F14" s="32">
        <v>621</v>
      </c>
      <c r="G14" s="32">
        <v>403</v>
      </c>
      <c r="H14" s="32">
        <v>165</v>
      </c>
      <c r="I14" s="32">
        <v>22</v>
      </c>
      <c r="J14" s="32">
        <v>5</v>
      </c>
      <c r="K14" s="32">
        <v>28</v>
      </c>
      <c r="L14" s="32">
        <v>184</v>
      </c>
      <c r="M14" s="32">
        <v>386</v>
      </c>
      <c r="N14" s="32">
        <v>546</v>
      </c>
      <c r="O14" s="32">
        <v>692</v>
      </c>
      <c r="P14" s="32">
        <v>4510</v>
      </c>
      <c r="R14" s="42"/>
      <c r="T14" s="36"/>
      <c r="U14" s="34"/>
      <c r="V14" s="34"/>
    </row>
    <row r="15" spans="1:29" ht="12" customHeight="1" x14ac:dyDescent="0.25">
      <c r="A15" s="25">
        <v>2014</v>
      </c>
      <c r="B15" s="26" t="s">
        <v>32</v>
      </c>
      <c r="C15" s="30" t="s">
        <v>26</v>
      </c>
      <c r="D15" s="32">
        <f t="shared" ref="D15:O15" si="1">$K$3*D7</f>
        <v>418.5</v>
      </c>
      <c r="E15" s="32">
        <f t="shared" si="1"/>
        <v>378</v>
      </c>
      <c r="F15" s="32">
        <f t="shared" si="1"/>
        <v>418.5</v>
      </c>
      <c r="G15" s="32">
        <f t="shared" si="1"/>
        <v>405</v>
      </c>
      <c r="H15" s="32">
        <f t="shared" si="1"/>
        <v>418.5</v>
      </c>
      <c r="I15" s="32">
        <f t="shared" si="1"/>
        <v>405</v>
      </c>
      <c r="J15" s="32">
        <f t="shared" si="1"/>
        <v>418.5</v>
      </c>
      <c r="K15" s="32">
        <f t="shared" si="1"/>
        <v>418.5</v>
      </c>
      <c r="L15" s="32">
        <f t="shared" si="1"/>
        <v>405</v>
      </c>
      <c r="M15" s="32">
        <f t="shared" si="1"/>
        <v>418.5</v>
      </c>
      <c r="N15" s="32">
        <f t="shared" si="1"/>
        <v>405</v>
      </c>
      <c r="O15" s="32">
        <f t="shared" si="1"/>
        <v>418.5</v>
      </c>
      <c r="P15" s="32">
        <f>SUM(D15:O15)</f>
        <v>4927.5</v>
      </c>
      <c r="T15" s="36"/>
      <c r="U15" s="34"/>
    </row>
    <row r="16" spans="1:29" ht="12" customHeight="1" x14ac:dyDescent="0.25">
      <c r="A16" s="25">
        <v>2014</v>
      </c>
      <c r="B16" s="26" t="s">
        <v>33</v>
      </c>
      <c r="C16" s="30" t="s">
        <v>26</v>
      </c>
      <c r="D16" s="32">
        <f>D11-D15</f>
        <v>1269.5</v>
      </c>
      <c r="E16" s="32">
        <f>E11-E15</f>
        <v>722</v>
      </c>
      <c r="F16" s="32">
        <f>F11-F15</f>
        <v>672.5</v>
      </c>
      <c r="G16" s="32">
        <f>G11-G15</f>
        <v>510</v>
      </c>
      <c r="H16" s="32">
        <f>H11-H15</f>
        <v>329.5</v>
      </c>
      <c r="I16" s="32">
        <v>20</v>
      </c>
      <c r="J16" s="32">
        <v>0</v>
      </c>
      <c r="K16" s="32">
        <v>60</v>
      </c>
      <c r="L16" s="32">
        <f>L11-L15</f>
        <v>34</v>
      </c>
      <c r="M16" s="32">
        <f>M11-M15</f>
        <v>412.5</v>
      </c>
      <c r="N16" s="32">
        <f>N11-N15</f>
        <v>571</v>
      </c>
      <c r="O16" s="32">
        <f>O11-O15</f>
        <v>826.5</v>
      </c>
      <c r="P16" s="32">
        <f>SUM(D16:O16)</f>
        <v>5427.5</v>
      </c>
      <c r="R16" s="35"/>
      <c r="T16" s="36"/>
      <c r="U16" s="34"/>
    </row>
    <row r="17" spans="1:29" ht="12" customHeight="1" x14ac:dyDescent="0.25">
      <c r="A17" s="25">
        <v>2014</v>
      </c>
      <c r="B17" s="26" t="s">
        <v>34</v>
      </c>
      <c r="C17" s="30" t="s">
        <v>26</v>
      </c>
      <c r="D17" s="32">
        <f>IF(D16&lt;0,0,((D14/D13))*D16)</f>
        <v>1172.2025547445255</v>
      </c>
      <c r="E17" s="32">
        <f>IF(E16&lt;0,0,((E14/E13))*E16)</f>
        <v>979.95728155339805</v>
      </c>
      <c r="F17" s="32">
        <f>IF(F16&lt;0,0,((F14/F13))*F16)</f>
        <v>826.97524752475249</v>
      </c>
      <c r="G17" s="32">
        <f>IF(G16&lt;0,0,((G14/G13))*G16)</f>
        <v>604.5</v>
      </c>
      <c r="H17" s="32">
        <f>IF(H16&lt;0,0,((H14/H13))*H16)</f>
        <v>275.97715736040607</v>
      </c>
      <c r="I17" s="32">
        <f>I16</f>
        <v>20</v>
      </c>
      <c r="J17" s="32">
        <v>0</v>
      </c>
      <c r="K17" s="32">
        <v>60</v>
      </c>
      <c r="L17" s="32">
        <f>IF(L16&lt;0,0,((L14/L13))*L16)</f>
        <v>54.877192982456137</v>
      </c>
      <c r="M17" s="32">
        <f>IF(M16&lt;0,0,((M14/M13))*M16)</f>
        <v>392.17980295566502</v>
      </c>
      <c r="N17" s="32">
        <f>IF(N16&lt;0,0,((N14/N13))*N16)</f>
        <v>629.83030303030307</v>
      </c>
      <c r="O17" s="32">
        <f>IF(O16&lt;0,0,((O14/O13))*O16)</f>
        <v>943.79207920792078</v>
      </c>
      <c r="P17" s="33">
        <f>SUM(D17:O17)</f>
        <v>5960.2916193594265</v>
      </c>
      <c r="Q17" s="44"/>
      <c r="R17" s="45"/>
      <c r="T17" s="36"/>
      <c r="U17" s="34"/>
    </row>
    <row r="18" spans="1:29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9" ht="12" customHeight="1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29" ht="12" customHeight="1" x14ac:dyDescent="0.25">
      <c r="A20" s="9" t="s">
        <v>35</v>
      </c>
      <c r="B20" s="10"/>
      <c r="C20" s="9" t="s">
        <v>5</v>
      </c>
      <c r="D20" s="4">
        <f t="shared" ref="D20:O20" si="2">D11/D7</f>
        <v>54.451612903225808</v>
      </c>
      <c r="E20" s="4">
        <f t="shared" si="2"/>
        <v>39.285714285714285</v>
      </c>
      <c r="F20" s="4">
        <f t="shared" si="2"/>
        <v>35.193548387096776</v>
      </c>
      <c r="G20" s="4">
        <f t="shared" si="2"/>
        <v>30.5</v>
      </c>
      <c r="H20" s="4">
        <f t="shared" si="2"/>
        <v>24.129032258064516</v>
      </c>
      <c r="I20" s="4">
        <f t="shared" si="2"/>
        <v>16.233333333333334</v>
      </c>
      <c r="J20" s="4">
        <f t="shared" si="2"/>
        <v>11.32258064516129</v>
      </c>
      <c r="K20" s="4">
        <f t="shared" si="2"/>
        <v>11.096774193548388</v>
      </c>
      <c r="L20" s="4">
        <f t="shared" si="2"/>
        <v>14.633333333333333</v>
      </c>
      <c r="M20" s="4">
        <f t="shared" si="2"/>
        <v>26.806451612903224</v>
      </c>
      <c r="N20" s="4">
        <f t="shared" si="2"/>
        <v>32.533333333333331</v>
      </c>
      <c r="O20" s="4">
        <f t="shared" si="2"/>
        <v>40.161290322580648</v>
      </c>
      <c r="P20" s="4">
        <f>P10/365</f>
        <v>7.9013698630136986</v>
      </c>
    </row>
    <row r="21" spans="1:29" ht="12" customHeight="1" x14ac:dyDescent="0.3">
      <c r="A21" s="10"/>
      <c r="B21" s="47" t="s">
        <v>36</v>
      </c>
      <c r="C21" s="11" t="s">
        <v>26</v>
      </c>
      <c r="D21" s="4">
        <f>SUM(D11)</f>
        <v>1688</v>
      </c>
      <c r="E21" s="4">
        <f>SUM($D$11:E11)</f>
        <v>2788</v>
      </c>
      <c r="F21" s="4">
        <f>SUM($D$11:F11)</f>
        <v>3879</v>
      </c>
      <c r="G21" s="4">
        <f>SUM($D$11:G11)</f>
        <v>4794</v>
      </c>
      <c r="H21" s="4">
        <f>SUM($D$11:H11)</f>
        <v>5542</v>
      </c>
      <c r="I21" s="4">
        <f>SUM($D$11:I11)</f>
        <v>6029</v>
      </c>
      <c r="J21" s="4">
        <f>SUM($D$11:J11)</f>
        <v>6380</v>
      </c>
      <c r="K21" s="4">
        <f>SUM($D$11:K11)</f>
        <v>6724</v>
      </c>
      <c r="L21" s="4">
        <f>SUM($D$11:L11)</f>
        <v>7163</v>
      </c>
      <c r="M21" s="4">
        <f>SUM($D$11:M11)</f>
        <v>7994</v>
      </c>
      <c r="N21" s="4">
        <f>SUM($D$11:N11)</f>
        <v>8970</v>
      </c>
      <c r="O21" s="4">
        <f>SUM($D$11:O11)</f>
        <v>10215</v>
      </c>
      <c r="P21" s="4"/>
    </row>
    <row r="22" spans="1:29" ht="12" customHeight="1" x14ac:dyDescent="0.3">
      <c r="A22" s="10"/>
      <c r="B22" s="47" t="s">
        <v>37</v>
      </c>
      <c r="C22" s="11" t="s">
        <v>26</v>
      </c>
      <c r="D22" s="4">
        <f>SUM(D12)</f>
        <v>377.298</v>
      </c>
      <c r="E22" s="4">
        <f>SUM($D$12:E12)</f>
        <v>605.44299999999998</v>
      </c>
      <c r="F22" s="4">
        <f>SUM($D$12:F12)</f>
        <v>932.68299999999999</v>
      </c>
      <c r="G22" s="4">
        <f>SUM($D$12:G12)</f>
        <v>1317.5629999999999</v>
      </c>
      <c r="H22" s="4">
        <f>SUM($D$12:H12)</f>
        <v>1540.5669999999998</v>
      </c>
      <c r="I22" s="4">
        <f>SUM($D$12:I12)</f>
        <v>1576.5819999999999</v>
      </c>
      <c r="J22" s="4">
        <f>SUM($D$12:J12)</f>
        <v>1580.5819999999999</v>
      </c>
      <c r="K22" s="4">
        <f>SUM($D$12:K12)</f>
        <v>1619.5819999999999</v>
      </c>
      <c r="L22" s="4">
        <f>SUM($D$12:L12)</f>
        <v>1751.5819999999999</v>
      </c>
      <c r="M22" s="4">
        <f>SUM($D$12:M12)</f>
        <v>2007.3619999999999</v>
      </c>
      <c r="N22" s="4">
        <f>SUM($D$12:N12)</f>
        <v>2363.7619999999997</v>
      </c>
      <c r="O22" s="4">
        <f>SUM($D$12:O12)</f>
        <v>2642.5219999999999</v>
      </c>
      <c r="P22" s="4"/>
      <c r="R22" s="36"/>
    </row>
    <row r="23" spans="1:29" ht="12" customHeight="1" x14ac:dyDescent="0.3">
      <c r="A23" s="10"/>
      <c r="B23" s="47" t="s">
        <v>38</v>
      </c>
      <c r="C23" s="11" t="s">
        <v>26</v>
      </c>
      <c r="D23" s="4">
        <f>SUM(D16)</f>
        <v>1269.5</v>
      </c>
      <c r="E23" s="4">
        <f>SUM($D$16:E16)</f>
        <v>1991.5</v>
      </c>
      <c r="F23" s="4">
        <f>SUM($D$16:F16)</f>
        <v>2664</v>
      </c>
      <c r="G23" s="4">
        <f>SUM($D$16:G16)</f>
        <v>3174</v>
      </c>
      <c r="H23" s="4">
        <f>SUM($D$16:H16)</f>
        <v>3503.5</v>
      </c>
      <c r="I23" s="4">
        <f>SUM($D$16:I16)</f>
        <v>3523.5</v>
      </c>
      <c r="J23" s="4">
        <f>SUM($D$16:J16)</f>
        <v>3523.5</v>
      </c>
      <c r="K23" s="4">
        <f>SUM($D$16:K16)</f>
        <v>3583.5</v>
      </c>
      <c r="L23" s="4">
        <f>SUM($D$16:L16)</f>
        <v>3617.5</v>
      </c>
      <c r="M23" s="4">
        <f>SUM($D$16:M16)</f>
        <v>4030</v>
      </c>
      <c r="N23" s="4">
        <f>SUM($D$16:N16)</f>
        <v>4601</v>
      </c>
      <c r="O23" s="4">
        <f>SUM($D$16:O16)</f>
        <v>5427.5</v>
      </c>
      <c r="P23" s="4"/>
      <c r="S23" s="48"/>
    </row>
    <row r="24" spans="1:29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/>
      <c r="S24" s="48"/>
    </row>
    <row r="25" spans="1:29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14"/>
      <c r="U25" s="50"/>
      <c r="V25" s="34"/>
    </row>
    <row r="26" spans="1:29" ht="12" customHeight="1" x14ac:dyDescent="0.25">
      <c r="A26" s="9"/>
      <c r="B26" s="9" t="s">
        <v>40</v>
      </c>
      <c r="C26" s="9"/>
      <c r="D26" s="51">
        <f t="shared" ref="D26:P26" si="3">D16/D11</f>
        <v>0.75207345971563977</v>
      </c>
      <c r="E26" s="51">
        <f t="shared" si="3"/>
        <v>0.65636363636363637</v>
      </c>
      <c r="F26" s="51">
        <f t="shared" si="3"/>
        <v>0.61640696608615952</v>
      </c>
      <c r="G26" s="51">
        <f t="shared" si="3"/>
        <v>0.55737704918032782</v>
      </c>
      <c r="H26" s="51">
        <f t="shared" si="3"/>
        <v>0.44050802139037432</v>
      </c>
      <c r="I26" s="51">
        <f t="shared" si="3"/>
        <v>4.1067761806981518E-2</v>
      </c>
      <c r="J26" s="51">
        <f t="shared" si="3"/>
        <v>0</v>
      </c>
      <c r="K26" s="51">
        <f t="shared" si="3"/>
        <v>0.1744186046511628</v>
      </c>
      <c r="L26" s="51">
        <f t="shared" si="3"/>
        <v>7.7448747152619596E-2</v>
      </c>
      <c r="M26" s="51">
        <f t="shared" si="3"/>
        <v>0.49638989169675091</v>
      </c>
      <c r="N26" s="51">
        <f t="shared" si="3"/>
        <v>0.58504098360655743</v>
      </c>
      <c r="O26" s="51">
        <f t="shared" si="3"/>
        <v>0.66385542168674694</v>
      </c>
      <c r="P26" s="51">
        <f t="shared" si="3"/>
        <v>0.53132648066568766</v>
      </c>
      <c r="Q26" s="34"/>
      <c r="R26" s="34"/>
      <c r="S26" s="34"/>
      <c r="T26" s="34"/>
      <c r="U26" s="34"/>
      <c r="V26" s="34"/>
      <c r="W26" s="9"/>
      <c r="X26" s="9"/>
      <c r="Y26" s="9"/>
      <c r="Z26" s="9"/>
      <c r="AA26" s="9"/>
      <c r="AB26" s="9"/>
      <c r="AC26" s="9"/>
    </row>
    <row r="27" spans="1:29" ht="12" customHeight="1" x14ac:dyDescent="0.3">
      <c r="B27" s="47" t="s">
        <v>41</v>
      </c>
      <c r="C27" s="9" t="s">
        <v>42</v>
      </c>
      <c r="D27" s="4">
        <f t="shared" ref="D27:P27" si="4">D16/D13</f>
        <v>1.5444038929440389</v>
      </c>
      <c r="E27" s="4">
        <f t="shared" si="4"/>
        <v>1.4019417475728155</v>
      </c>
      <c r="F27" s="4">
        <f t="shared" si="4"/>
        <v>1.3316831683168318</v>
      </c>
      <c r="G27" s="4">
        <f t="shared" si="4"/>
        <v>1.5</v>
      </c>
      <c r="H27" s="4">
        <f t="shared" si="4"/>
        <v>1.6725888324873097</v>
      </c>
      <c r="I27" s="4">
        <f t="shared" si="4"/>
        <v>0.5714285714285714</v>
      </c>
      <c r="J27" s="4" t="e">
        <f t="shared" si="4"/>
        <v>#DIV/0!</v>
      </c>
      <c r="K27" s="4">
        <f t="shared" si="4"/>
        <v>4.615384615384615</v>
      </c>
      <c r="L27" s="4">
        <f t="shared" si="4"/>
        <v>0.2982456140350877</v>
      </c>
      <c r="M27" s="4">
        <f t="shared" si="4"/>
        <v>1.0160098522167487</v>
      </c>
      <c r="N27" s="4">
        <f t="shared" si="4"/>
        <v>1.1535353535353536</v>
      </c>
      <c r="O27" s="4">
        <f t="shared" si="4"/>
        <v>1.363861386138614</v>
      </c>
      <c r="P27" s="4">
        <f t="shared" si="4"/>
        <v>1.3407855731225296</v>
      </c>
      <c r="U27" s="14"/>
    </row>
    <row r="28" spans="1:29" ht="12" customHeight="1" x14ac:dyDescent="0.3">
      <c r="B28" s="47" t="s">
        <v>41</v>
      </c>
      <c r="C28" s="11" t="s">
        <v>5</v>
      </c>
      <c r="D28" s="4">
        <f t="shared" ref="D28:P28" si="5">D16/D7</f>
        <v>40.951612903225808</v>
      </c>
      <c r="E28" s="4">
        <f t="shared" si="5"/>
        <v>25.785714285714285</v>
      </c>
      <c r="F28" s="4">
        <f t="shared" si="5"/>
        <v>21.693548387096776</v>
      </c>
      <c r="G28" s="4">
        <f t="shared" si="5"/>
        <v>17</v>
      </c>
      <c r="H28" s="4">
        <f t="shared" si="5"/>
        <v>10.629032258064516</v>
      </c>
      <c r="I28" s="4">
        <f t="shared" si="5"/>
        <v>0.66666666666666663</v>
      </c>
      <c r="J28" s="4">
        <f t="shared" si="5"/>
        <v>0</v>
      </c>
      <c r="K28" s="4">
        <f t="shared" si="5"/>
        <v>1.935483870967742</v>
      </c>
      <c r="L28" s="4">
        <f t="shared" si="5"/>
        <v>1.1333333333333333</v>
      </c>
      <c r="M28" s="4">
        <f t="shared" si="5"/>
        <v>13.306451612903226</v>
      </c>
      <c r="N28" s="4">
        <f t="shared" si="5"/>
        <v>19.033333333333335</v>
      </c>
      <c r="O28" s="4">
        <f t="shared" si="5"/>
        <v>26.661290322580644</v>
      </c>
      <c r="P28" s="4">
        <f t="shared" si="5"/>
        <v>14.86986301369863</v>
      </c>
      <c r="S28" s="36"/>
      <c r="T28" s="52"/>
      <c r="U28" s="34"/>
    </row>
    <row r="29" spans="1:29" ht="12" customHeight="1" x14ac:dyDescent="0.3">
      <c r="B29" s="47" t="s">
        <v>43</v>
      </c>
      <c r="C29" s="11" t="s">
        <v>5</v>
      </c>
      <c r="D29" s="4">
        <f t="shared" ref="D29:P29" si="6">D17/D7</f>
        <v>37.812985636920175</v>
      </c>
      <c r="E29" s="4">
        <f t="shared" si="6"/>
        <v>34.998474341192789</v>
      </c>
      <c r="F29" s="4">
        <f t="shared" si="6"/>
        <v>26.676620887895243</v>
      </c>
      <c r="G29" s="4">
        <f t="shared" si="6"/>
        <v>20.149999999999999</v>
      </c>
      <c r="H29" s="4">
        <f t="shared" si="6"/>
        <v>8.9024889471098732</v>
      </c>
      <c r="I29" s="4">
        <f t="shared" si="6"/>
        <v>0.66666666666666663</v>
      </c>
      <c r="J29" s="4">
        <f t="shared" si="6"/>
        <v>0</v>
      </c>
      <c r="K29" s="4">
        <f t="shared" si="6"/>
        <v>1.935483870967742</v>
      </c>
      <c r="L29" s="4">
        <f t="shared" si="6"/>
        <v>1.8292397660818713</v>
      </c>
      <c r="M29" s="4">
        <f t="shared" si="6"/>
        <v>12.650961385666614</v>
      </c>
      <c r="N29" s="4">
        <f t="shared" si="6"/>
        <v>20.994343434343435</v>
      </c>
      <c r="O29" s="4">
        <f t="shared" si="6"/>
        <v>30.444905780900669</v>
      </c>
      <c r="P29" s="4">
        <f t="shared" si="6"/>
        <v>16.329566080436784</v>
      </c>
      <c r="U29" s="34"/>
    </row>
    <row r="30" spans="1:29" ht="12" customHeight="1" x14ac:dyDescent="0.3">
      <c r="B30" s="47" t="s">
        <v>44</v>
      </c>
      <c r="C30" s="47" t="s">
        <v>45</v>
      </c>
      <c r="D30" s="4">
        <f t="shared" ref="D30:P30" si="7">D16/$F$4</f>
        <v>4.5797258297258301</v>
      </c>
      <c r="E30" s="4">
        <f t="shared" si="7"/>
        <v>2.6046176046176046</v>
      </c>
      <c r="F30" s="4">
        <f t="shared" si="7"/>
        <v>2.4260461760461762</v>
      </c>
      <c r="G30" s="4">
        <f t="shared" si="7"/>
        <v>1.8398268398268398</v>
      </c>
      <c r="H30" s="4">
        <f t="shared" si="7"/>
        <v>1.1886724386724388</v>
      </c>
      <c r="I30" s="4">
        <f t="shared" si="7"/>
        <v>7.2150072150072159E-2</v>
      </c>
      <c r="J30" s="4">
        <f t="shared" si="7"/>
        <v>0</v>
      </c>
      <c r="K30" s="4">
        <f t="shared" si="7"/>
        <v>0.21645021645021645</v>
      </c>
      <c r="L30" s="4">
        <f t="shared" si="7"/>
        <v>0.12265512265512266</v>
      </c>
      <c r="M30" s="4">
        <f t="shared" si="7"/>
        <v>1.4880952380952381</v>
      </c>
      <c r="N30" s="4">
        <f t="shared" si="7"/>
        <v>2.0598845598845599</v>
      </c>
      <c r="O30" s="4">
        <f t="shared" si="7"/>
        <v>2.9816017316017316</v>
      </c>
      <c r="P30" s="4">
        <f t="shared" si="7"/>
        <v>19.579725829725831</v>
      </c>
      <c r="U30" s="34"/>
    </row>
    <row r="31" spans="1:29" ht="12" customHeight="1" x14ac:dyDescent="0.3">
      <c r="B31" s="47" t="s">
        <v>44</v>
      </c>
      <c r="C31" s="47" t="s">
        <v>46</v>
      </c>
      <c r="D31" s="4">
        <f t="shared" ref="D31:P31" si="8">D16/$F$3</f>
        <v>11.540909090909091</v>
      </c>
      <c r="E31" s="4">
        <f t="shared" si="8"/>
        <v>6.5636363636363635</v>
      </c>
      <c r="F31" s="4">
        <f t="shared" si="8"/>
        <v>6.1136363636363633</v>
      </c>
      <c r="G31" s="4">
        <f t="shared" si="8"/>
        <v>4.6363636363636367</v>
      </c>
      <c r="H31" s="4">
        <f t="shared" si="8"/>
        <v>2.9954545454545456</v>
      </c>
      <c r="I31" s="4">
        <f t="shared" si="8"/>
        <v>0.18181818181818182</v>
      </c>
      <c r="J31" s="4">
        <f t="shared" si="8"/>
        <v>0</v>
      </c>
      <c r="K31" s="4">
        <f t="shared" si="8"/>
        <v>0.54545454545454541</v>
      </c>
      <c r="L31" s="4">
        <f t="shared" si="8"/>
        <v>0.30909090909090908</v>
      </c>
      <c r="M31" s="4">
        <f t="shared" si="8"/>
        <v>3.75</v>
      </c>
      <c r="N31" s="4">
        <f t="shared" si="8"/>
        <v>5.1909090909090905</v>
      </c>
      <c r="O31" s="4">
        <f t="shared" si="8"/>
        <v>7.5136363636363637</v>
      </c>
      <c r="P31" s="4">
        <f t="shared" si="8"/>
        <v>49.340909090909093</v>
      </c>
      <c r="U31" s="34"/>
    </row>
    <row r="32" spans="1:29" ht="12" customHeight="1" x14ac:dyDescent="0.3">
      <c r="B32" s="47" t="s">
        <v>47</v>
      </c>
      <c r="C32" s="47" t="s">
        <v>45</v>
      </c>
      <c r="D32" s="4">
        <f t="shared" ref="D32:P32" si="9">D17/$F$4</f>
        <v>4.2287249449658209</v>
      </c>
      <c r="E32" s="4">
        <f t="shared" si="9"/>
        <v>3.5351994284033119</v>
      </c>
      <c r="F32" s="4">
        <f t="shared" si="9"/>
        <v>2.9833161887617337</v>
      </c>
      <c r="G32" s="4">
        <f t="shared" si="9"/>
        <v>2.1807359307359309</v>
      </c>
      <c r="H32" s="4">
        <f t="shared" si="9"/>
        <v>0.99558859076625572</v>
      </c>
      <c r="I32" s="4">
        <f t="shared" si="9"/>
        <v>7.2150072150072159E-2</v>
      </c>
      <c r="J32" s="4">
        <f t="shared" si="9"/>
        <v>0</v>
      </c>
      <c r="K32" s="4">
        <f t="shared" si="9"/>
        <v>0.21645021645021645</v>
      </c>
      <c r="L32" s="4">
        <f t="shared" si="9"/>
        <v>0.19796967165388218</v>
      </c>
      <c r="M32" s="4">
        <f t="shared" si="9"/>
        <v>1.4147900539526155</v>
      </c>
      <c r="N32" s="4">
        <f t="shared" si="9"/>
        <v>2.2721150902969085</v>
      </c>
      <c r="O32" s="4">
        <f t="shared" si="9"/>
        <v>3.4047333304759047</v>
      </c>
      <c r="P32" s="4">
        <f t="shared" si="9"/>
        <v>21.501773518612652</v>
      </c>
      <c r="U32" s="34"/>
    </row>
    <row r="33" spans="1:16" ht="12" customHeight="1" x14ac:dyDescent="0.3">
      <c r="B33" s="47" t="s">
        <v>47</v>
      </c>
      <c r="C33" s="47" t="s">
        <v>46</v>
      </c>
      <c r="D33" s="4">
        <f t="shared" ref="D33:P33" si="10">D17/$F$3</f>
        <v>10.656386861313868</v>
      </c>
      <c r="E33" s="4">
        <f t="shared" si="10"/>
        <v>8.908702559576346</v>
      </c>
      <c r="F33" s="4">
        <f t="shared" si="10"/>
        <v>7.5179567956795683</v>
      </c>
      <c r="G33" s="4">
        <f t="shared" si="10"/>
        <v>5.4954545454545451</v>
      </c>
      <c r="H33" s="4">
        <f t="shared" si="10"/>
        <v>2.5088832487309642</v>
      </c>
      <c r="I33" s="4">
        <f t="shared" si="10"/>
        <v>0.18181818181818182</v>
      </c>
      <c r="J33" s="4">
        <f t="shared" si="10"/>
        <v>0</v>
      </c>
      <c r="K33" s="4">
        <f t="shared" si="10"/>
        <v>0.54545454545454541</v>
      </c>
      <c r="L33" s="4">
        <f t="shared" si="10"/>
        <v>0.49888357256778304</v>
      </c>
      <c r="M33" s="4">
        <f t="shared" si="10"/>
        <v>3.5652709359605912</v>
      </c>
      <c r="N33" s="4">
        <f t="shared" si="10"/>
        <v>5.7257300275482095</v>
      </c>
      <c r="O33" s="4">
        <f t="shared" si="10"/>
        <v>8.5799279927992806</v>
      </c>
      <c r="P33" s="4">
        <f t="shared" si="10"/>
        <v>54.184469266903875</v>
      </c>
    </row>
    <row r="34" spans="1:16" ht="12" customHeight="1" x14ac:dyDescent="0.3">
      <c r="B34" s="47" t="s">
        <v>44</v>
      </c>
      <c r="C34" s="47" t="s">
        <v>48</v>
      </c>
      <c r="D34" s="4">
        <f t="shared" ref="D34:P34" si="11">1000*D30/D13</f>
        <v>5.5714426152382366</v>
      </c>
      <c r="E34" s="4">
        <f t="shared" si="11"/>
        <v>5.057509911878844</v>
      </c>
      <c r="F34" s="4">
        <f t="shared" si="11"/>
        <v>4.8040518337548042</v>
      </c>
      <c r="G34" s="4">
        <f t="shared" si="11"/>
        <v>5.4112554112554117</v>
      </c>
      <c r="H34" s="4">
        <f t="shared" si="11"/>
        <v>6.0338702470682177</v>
      </c>
      <c r="I34" s="4">
        <f t="shared" si="11"/>
        <v>2.0614306328592047</v>
      </c>
      <c r="J34" s="4" t="e">
        <f t="shared" si="11"/>
        <v>#DIV/0!</v>
      </c>
      <c r="K34" s="4">
        <f t="shared" si="11"/>
        <v>16.650016650016649</v>
      </c>
      <c r="L34" s="4">
        <f t="shared" si="11"/>
        <v>1.0759221285537075</v>
      </c>
      <c r="M34" s="4">
        <f t="shared" si="11"/>
        <v>3.6652592071311281</v>
      </c>
      <c r="N34" s="4">
        <f t="shared" si="11"/>
        <v>4.1613829492617374</v>
      </c>
      <c r="O34" s="4">
        <f t="shared" si="11"/>
        <v>4.9201348706299202</v>
      </c>
      <c r="P34" s="4">
        <f t="shared" si="11"/>
        <v>4.8368887919283177</v>
      </c>
    </row>
    <row r="35" spans="1:16" ht="12" customHeight="1" x14ac:dyDescent="0.25">
      <c r="D35" s="36"/>
      <c r="E35" s="36"/>
      <c r="F35" s="36"/>
      <c r="G35" s="36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2" customHeight="1" x14ac:dyDescent="0.3">
      <c r="B38" s="47" t="s">
        <v>50</v>
      </c>
      <c r="D38" s="13">
        <f>4400*1.3</f>
        <v>5720</v>
      </c>
      <c r="E38" s="11" t="s">
        <v>26</v>
      </c>
      <c r="F38" s="51">
        <f>D38/$D$40</f>
        <v>0.53721530875792445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</row>
    <row r="39" spans="1:16" ht="12" customHeight="1" x14ac:dyDescent="0.25">
      <c r="B39" s="53" t="s">
        <v>53</v>
      </c>
      <c r="C39" s="53"/>
      <c r="D39" s="54">
        <f>K3*365</f>
        <v>4927.5</v>
      </c>
      <c r="E39" s="55" t="s">
        <v>26</v>
      </c>
      <c r="F39" s="51">
        <f>D39/$D$40</f>
        <v>0.46278469124207561</v>
      </c>
      <c r="G39" s="11" t="s">
        <v>54</v>
      </c>
      <c r="H39" s="4"/>
      <c r="I39" s="4"/>
      <c r="J39" s="4"/>
      <c r="K39" s="4">
        <f>K38-D38</f>
        <v>2846</v>
      </c>
      <c r="L39" s="11" t="s">
        <v>26</v>
      </c>
      <c r="M39" s="4"/>
      <c r="N39" s="13">
        <f>'2007'!I36</f>
        <v>14540</v>
      </c>
      <c r="O39" s="11" t="s">
        <v>26</v>
      </c>
      <c r="P39" s="4"/>
    </row>
    <row r="40" spans="1:16" ht="12" customHeight="1" x14ac:dyDescent="0.3">
      <c r="B40" s="47" t="s">
        <v>22</v>
      </c>
      <c r="D40" s="13">
        <f>SUM(D38:D39)</f>
        <v>10647.5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0.33224375437777259</v>
      </c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0.21091636713973394</v>
      </c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2" customHeight="1" x14ac:dyDescent="0.3">
      <c r="A51" s="47" t="s">
        <v>57</v>
      </c>
      <c r="D51" s="4" t="s">
        <v>58</v>
      </c>
      <c r="E51" s="4" t="s">
        <v>59</v>
      </c>
      <c r="F51" s="4" t="s">
        <v>60</v>
      </c>
      <c r="G51" s="11" t="s">
        <v>61</v>
      </c>
      <c r="H51" s="4"/>
      <c r="I51" s="4"/>
      <c r="J51" s="4"/>
      <c r="K51" s="4"/>
      <c r="L51" s="4"/>
      <c r="M51" s="4"/>
      <c r="N51" s="4"/>
      <c r="O51" s="4"/>
      <c r="P51" s="4"/>
    </row>
    <row r="52" spans="1:16" ht="12" customHeight="1" x14ac:dyDescent="0.25">
      <c r="B52" s="56">
        <v>41633</v>
      </c>
      <c r="D52" s="4">
        <v>495.16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2" customHeight="1" x14ac:dyDescent="0.25">
      <c r="B53" s="56">
        <v>41645</v>
      </c>
      <c r="D53" s="4">
        <v>584.70000000000005</v>
      </c>
      <c r="E53" s="13">
        <f t="shared" ref="E53:E65" si="12">DAYS360(B52,B53)</f>
        <v>11</v>
      </c>
      <c r="F53" s="4">
        <f t="shared" ref="F53:F65" si="13">(D53-D52)/E53</f>
        <v>8.1400000000000023</v>
      </c>
      <c r="G53" s="13">
        <v>195</v>
      </c>
      <c r="H53" s="57">
        <f t="shared" ref="H53:H58" si="14">(D53-D52)/G53</f>
        <v>0.45917948717948731</v>
      </c>
      <c r="I53" s="4"/>
      <c r="J53" s="4"/>
      <c r="K53" s="4"/>
      <c r="L53" s="4"/>
      <c r="M53" s="4"/>
      <c r="N53" s="4"/>
      <c r="O53" s="4"/>
      <c r="P53" s="4"/>
    </row>
    <row r="54" spans="1:16" ht="12" customHeight="1" x14ac:dyDescent="0.25">
      <c r="B54" s="56">
        <v>41692</v>
      </c>
      <c r="D54" s="4">
        <v>1079.44</v>
      </c>
      <c r="E54" s="13">
        <f t="shared" si="12"/>
        <v>46</v>
      </c>
      <c r="F54" s="4">
        <f t="shared" si="13"/>
        <v>10.755217391304347</v>
      </c>
      <c r="G54" s="13">
        <v>1116</v>
      </c>
      <c r="H54" s="57">
        <f t="shared" si="14"/>
        <v>0.44331541218637993</v>
      </c>
      <c r="I54" s="4"/>
      <c r="J54" s="4"/>
      <c r="K54" s="4"/>
      <c r="L54" s="4"/>
      <c r="M54" s="4"/>
      <c r="N54" s="4"/>
      <c r="O54" s="4"/>
      <c r="P54" s="4"/>
    </row>
    <row r="55" spans="1:16" ht="12" customHeight="1" x14ac:dyDescent="0.25">
      <c r="B55" s="56">
        <v>41720</v>
      </c>
      <c r="D55" s="4">
        <v>1376.73</v>
      </c>
      <c r="E55" s="13">
        <f t="shared" si="12"/>
        <v>30</v>
      </c>
      <c r="F55" s="4">
        <f t="shared" si="13"/>
        <v>9.9096666666666646</v>
      </c>
      <c r="G55" s="13">
        <v>459</v>
      </c>
      <c r="H55" s="57">
        <f t="shared" si="14"/>
        <v>0.64769063180827879</v>
      </c>
      <c r="I55" s="4"/>
      <c r="J55" s="4"/>
      <c r="K55" s="4"/>
      <c r="L55" s="4"/>
      <c r="M55" s="4"/>
      <c r="N55" s="4"/>
      <c r="O55" s="4"/>
      <c r="P55" s="4"/>
    </row>
    <row r="56" spans="1:16" ht="12" customHeight="1" x14ac:dyDescent="0.25">
      <c r="B56" s="56">
        <v>41734</v>
      </c>
      <c r="D56" s="4">
        <v>1545.36</v>
      </c>
      <c r="E56" s="13">
        <f t="shared" si="12"/>
        <v>13</v>
      </c>
      <c r="F56" s="4">
        <f t="shared" si="13"/>
        <v>12.971538461538453</v>
      </c>
      <c r="G56" s="4">
        <v>173</v>
      </c>
      <c r="H56" s="57">
        <f t="shared" si="14"/>
        <v>0.97473988439306292</v>
      </c>
      <c r="I56" s="4"/>
      <c r="J56" s="4"/>
      <c r="K56" s="4"/>
      <c r="L56" s="4"/>
      <c r="M56" s="4"/>
      <c r="N56" s="4" t="s">
        <v>62</v>
      </c>
      <c r="O56" s="4"/>
      <c r="P56" s="4"/>
    </row>
    <row r="57" spans="1:16" ht="12" customHeight="1" x14ac:dyDescent="0.25">
      <c r="B57" s="56">
        <v>41791</v>
      </c>
      <c r="D57" s="4">
        <v>2153</v>
      </c>
      <c r="E57" s="13">
        <f t="shared" si="12"/>
        <v>56</v>
      </c>
      <c r="F57" s="4">
        <f t="shared" si="13"/>
        <v>10.850714285714288</v>
      </c>
      <c r="G57" s="4">
        <v>537</v>
      </c>
      <c r="H57" s="57">
        <f t="shared" si="14"/>
        <v>1.1315456238361268</v>
      </c>
      <c r="I57" s="4"/>
      <c r="J57" s="4"/>
      <c r="K57" s="4"/>
      <c r="L57" s="84">
        <v>41851</v>
      </c>
      <c r="M57" s="84"/>
      <c r="N57" s="4">
        <v>2274.96</v>
      </c>
      <c r="O57" s="4">
        <f>N57-D59</f>
        <v>13.269999999999982</v>
      </c>
      <c r="P57" s="4"/>
    </row>
    <row r="58" spans="1:16" ht="12" customHeight="1" x14ac:dyDescent="0.25">
      <c r="B58" s="56">
        <v>41814</v>
      </c>
      <c r="D58" s="4">
        <v>2233.4699999999998</v>
      </c>
      <c r="E58" s="13">
        <f t="shared" si="12"/>
        <v>23</v>
      </c>
      <c r="F58" s="4">
        <f t="shared" si="13"/>
        <v>3.4986956521739043</v>
      </c>
      <c r="G58" s="4">
        <v>78.2</v>
      </c>
      <c r="H58" s="57">
        <f t="shared" si="14"/>
        <v>1.0290281329923248</v>
      </c>
      <c r="I58" s="4"/>
      <c r="J58" s="4"/>
      <c r="K58" s="4"/>
      <c r="L58" s="4"/>
      <c r="M58" s="4"/>
      <c r="N58" s="4"/>
      <c r="O58" s="4"/>
      <c r="P58" s="4"/>
    </row>
    <row r="59" spans="1:16" ht="12" customHeight="1" x14ac:dyDescent="0.25">
      <c r="B59" s="56">
        <v>41825</v>
      </c>
      <c r="D59" s="4">
        <v>2261.69</v>
      </c>
      <c r="E59" s="13">
        <f t="shared" si="12"/>
        <v>11</v>
      </c>
      <c r="F59" s="4">
        <f t="shared" si="13"/>
        <v>2.5654545454545685</v>
      </c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2" customHeight="1" x14ac:dyDescent="0.25">
      <c r="B60" s="56">
        <v>41852</v>
      </c>
      <c r="D60" s="4">
        <v>2274.96</v>
      </c>
      <c r="E60" s="13">
        <f t="shared" si="12"/>
        <v>26</v>
      </c>
      <c r="F60" s="4">
        <f t="shared" si="13"/>
        <v>0.51038461538461466</v>
      </c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2" customHeight="1" x14ac:dyDescent="0.25">
      <c r="B61" s="56">
        <v>41882</v>
      </c>
      <c r="D61" s="4">
        <v>2314.3200000000002</v>
      </c>
      <c r="E61" s="13">
        <f t="shared" si="12"/>
        <v>30</v>
      </c>
      <c r="F61" s="4">
        <f t="shared" si="13"/>
        <v>1.3120000000000043</v>
      </c>
      <c r="G61" s="4">
        <v>13</v>
      </c>
      <c r="H61" s="4"/>
      <c r="I61" s="4">
        <f>D61-D60</f>
        <v>39.360000000000127</v>
      </c>
      <c r="J61" s="4"/>
      <c r="K61" s="4"/>
      <c r="L61" s="4"/>
      <c r="M61" s="4"/>
      <c r="N61" s="4"/>
      <c r="O61" s="4"/>
      <c r="P61" s="4"/>
    </row>
    <row r="62" spans="1:16" ht="12" customHeight="1" x14ac:dyDescent="0.25">
      <c r="B62" s="56">
        <v>41889</v>
      </c>
      <c r="D62" s="4">
        <v>2330.23</v>
      </c>
      <c r="E62" s="13">
        <f t="shared" si="12"/>
        <v>7</v>
      </c>
      <c r="F62" s="4">
        <f t="shared" si="13"/>
        <v>2.2728571428571223</v>
      </c>
      <c r="G62" s="4">
        <f>3.8*7</f>
        <v>26.599999999999998</v>
      </c>
      <c r="H62" s="57">
        <f>(D62-D61)/G62</f>
        <v>0.59812030075187428</v>
      </c>
      <c r="I62" s="4"/>
      <c r="J62" s="4"/>
      <c r="K62" s="4"/>
      <c r="L62" s="4"/>
      <c r="M62" s="4"/>
      <c r="N62" s="4"/>
      <c r="O62" s="4"/>
      <c r="P62" s="4"/>
    </row>
    <row r="63" spans="1:16" ht="12" customHeight="1" x14ac:dyDescent="0.25">
      <c r="B63" s="56">
        <v>41929</v>
      </c>
      <c r="D63" s="4">
        <v>2507</v>
      </c>
      <c r="E63" s="13">
        <f t="shared" si="12"/>
        <v>40</v>
      </c>
      <c r="F63" s="4">
        <f t="shared" si="13"/>
        <v>4.4192499999999999</v>
      </c>
      <c r="G63" s="4">
        <f>7*40</f>
        <v>280</v>
      </c>
      <c r="H63" s="57">
        <f>(D63-D62)/G63</f>
        <v>0.63132142857142848</v>
      </c>
      <c r="I63" s="4"/>
      <c r="J63" s="4"/>
      <c r="K63" s="4"/>
      <c r="L63" s="4"/>
      <c r="M63" s="4"/>
      <c r="N63" s="4"/>
      <c r="O63" s="4"/>
      <c r="P63" s="4"/>
    </row>
    <row r="64" spans="1:16" ht="12" customHeight="1" x14ac:dyDescent="0.25">
      <c r="B64" s="56">
        <v>41951</v>
      </c>
      <c r="D64" s="4">
        <v>2695.68</v>
      </c>
      <c r="E64" s="13">
        <f t="shared" si="12"/>
        <v>21</v>
      </c>
      <c r="F64" s="4">
        <f t="shared" si="13"/>
        <v>8.9847619047618963</v>
      </c>
      <c r="G64" s="4">
        <f>21*12.5</f>
        <v>262.5</v>
      </c>
      <c r="H64" s="57">
        <f>(D64-D63)/G64</f>
        <v>0.71878095238095174</v>
      </c>
      <c r="I64" s="4"/>
      <c r="J64" s="4"/>
      <c r="K64" s="4"/>
      <c r="L64" s="4"/>
      <c r="M64" s="4"/>
      <c r="N64" s="4"/>
      <c r="O64" s="4"/>
      <c r="P64" s="4"/>
    </row>
    <row r="65" spans="1:16" ht="12" customHeight="1" x14ac:dyDescent="0.25">
      <c r="A65" s="48"/>
      <c r="B65" s="56">
        <v>42035</v>
      </c>
      <c r="D65" s="4">
        <v>3422.93</v>
      </c>
      <c r="E65" s="13">
        <f t="shared" si="12"/>
        <v>83</v>
      </c>
      <c r="F65" s="4">
        <f t="shared" si="13"/>
        <v>8.7620481927710845</v>
      </c>
      <c r="G65" s="4">
        <f>O13+N13/30*22+674</f>
        <v>1643</v>
      </c>
      <c r="H65" s="57">
        <f>(D65-D64)/G65</f>
        <v>0.44263542300669506</v>
      </c>
      <c r="I65" s="4"/>
      <c r="J65" s="4"/>
      <c r="K65" s="4"/>
      <c r="L65" s="4">
        <f>D65-D52</f>
        <v>2927.77</v>
      </c>
      <c r="M65" s="4"/>
      <c r="N65" s="4">
        <f>B65-B52</f>
        <v>402</v>
      </c>
      <c r="O65" s="4"/>
      <c r="P65" s="4">
        <f>L65/N65*365</f>
        <v>2658.2986318407961</v>
      </c>
    </row>
    <row r="66" spans="1:16" ht="12" customHeight="1" x14ac:dyDescent="0.25">
      <c r="A66" s="48"/>
      <c r="D66" s="4"/>
      <c r="E66" s="13"/>
      <c r="F66" s="4"/>
      <c r="G66" s="4"/>
      <c r="H66" s="57"/>
      <c r="I66" s="4"/>
      <c r="J66" s="4"/>
      <c r="K66" s="4"/>
      <c r="L66" s="4"/>
      <c r="M66" s="4"/>
      <c r="N66" s="4"/>
      <c r="O66" s="4"/>
      <c r="P66" s="4"/>
    </row>
    <row r="67" spans="1:16" ht="12" customHeight="1" x14ac:dyDescent="0.25">
      <c r="A67" s="4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2" customHeight="1" x14ac:dyDescent="0.25">
      <c r="A68" s="4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12" customHeight="1" x14ac:dyDescent="0.25">
      <c r="A70" s="56"/>
      <c r="D70" s="4"/>
      <c r="E70" s="4"/>
      <c r="F70" s="4"/>
      <c r="H70" s="4"/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5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A74" s="4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A75" s="4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A80" s="5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4:16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4:16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4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4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4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4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4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4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4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4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4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4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4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4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4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4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mergeCells count="2">
    <mergeCell ref="Z8:AA8"/>
    <mergeCell ref="L57:M57"/>
  </mergeCells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>
      <selection activeCell="P11" sqref="P11:P17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6" width="8.6640625" customWidth="1"/>
  </cols>
  <sheetData>
    <row r="1" spans="1:26" ht="12" customHeight="1" x14ac:dyDescent="0.3">
      <c r="A1" s="2" t="s">
        <v>0</v>
      </c>
      <c r="D1" s="3">
        <v>2013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61"/>
      <c r="S1" s="62"/>
    </row>
    <row r="2" spans="1:26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2"/>
      <c r="P2" s="4"/>
      <c r="Q2" s="8"/>
      <c r="R2" s="60"/>
    </row>
    <row r="3" spans="1:26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f>K4+2</f>
        <v>13.532608695652174</v>
      </c>
      <c r="L3" s="11" t="s">
        <v>5</v>
      </c>
      <c r="M3" s="4"/>
      <c r="N3" s="4"/>
      <c r="O3" s="32"/>
      <c r="P3" s="4"/>
      <c r="Q3" s="8"/>
    </row>
    <row r="4" spans="1:26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SUM(I11:K11)/92</f>
        <v>11.532608695652174</v>
      </c>
      <c r="L4" s="11" t="s">
        <v>5</v>
      </c>
      <c r="M4" s="11"/>
      <c r="N4" s="11"/>
      <c r="O4" s="64"/>
      <c r="P4" s="11"/>
    </row>
    <row r="5" spans="1:26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6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 x14ac:dyDescent="0.25">
      <c r="A8" s="25">
        <v>2013</v>
      </c>
      <c r="B8" s="26" t="s">
        <v>23</v>
      </c>
      <c r="C8" s="30" t="s">
        <v>65</v>
      </c>
      <c r="D8" s="28">
        <v>-7.4</v>
      </c>
      <c r="E8" s="28">
        <v>-3.7</v>
      </c>
      <c r="F8" s="28">
        <v>-7.8</v>
      </c>
      <c r="G8" s="28">
        <v>2.6</v>
      </c>
      <c r="H8" s="28">
        <v>13.1</v>
      </c>
      <c r="I8" s="28">
        <v>18.3</v>
      </c>
      <c r="J8" s="28">
        <v>17.600000000000001</v>
      </c>
      <c r="K8" s="28">
        <v>16.600000000000001</v>
      </c>
      <c r="L8" s="28">
        <v>11.2</v>
      </c>
      <c r="M8" s="28">
        <v>5.7</v>
      </c>
      <c r="N8" s="28">
        <v>2.2999999999999998</v>
      </c>
      <c r="O8" s="28">
        <v>-0.5</v>
      </c>
      <c r="P8" s="28">
        <f>AVERAGE(D8:O8)</f>
        <v>5.666666666666667</v>
      </c>
      <c r="U8" s="8"/>
    </row>
    <row r="9" spans="1:26" ht="12" customHeight="1" x14ac:dyDescent="0.25">
      <c r="A9" s="25">
        <v>2013</v>
      </c>
      <c r="B9" s="26" t="s">
        <v>67</v>
      </c>
      <c r="C9" s="30" t="s">
        <v>26</v>
      </c>
      <c r="D9" s="32">
        <v>827</v>
      </c>
      <c r="E9" s="32">
        <v>577</v>
      </c>
      <c r="F9" s="32">
        <v>807</v>
      </c>
      <c r="G9" s="32">
        <v>508</v>
      </c>
      <c r="H9" s="32">
        <v>280</v>
      </c>
      <c r="I9" s="32">
        <v>170</v>
      </c>
      <c r="J9" s="32">
        <v>182</v>
      </c>
      <c r="K9" s="32">
        <v>223</v>
      </c>
      <c r="L9" s="32">
        <v>312</v>
      </c>
      <c r="M9" s="32">
        <v>452</v>
      </c>
      <c r="N9" s="32">
        <v>568</v>
      </c>
      <c r="O9" s="32">
        <v>678</v>
      </c>
      <c r="P9" s="32">
        <f t="shared" ref="P9:P17" si="0">SUM(D9:O9)</f>
        <v>5584</v>
      </c>
      <c r="Q9" s="34"/>
      <c r="S9" s="35">
        <f>P9/$P$11</f>
        <v>0.55250532073309855</v>
      </c>
      <c r="T9" s="36"/>
      <c r="U9" s="34"/>
      <c r="W9" s="35"/>
    </row>
    <row r="10" spans="1:26" ht="12" customHeight="1" x14ac:dyDescent="0.25">
      <c r="A10" s="25">
        <v>2013</v>
      </c>
      <c r="B10" s="26" t="s">
        <v>68</v>
      </c>
      <c r="C10" s="30" t="s">
        <v>26</v>
      </c>
      <c r="D10" s="32">
        <v>781</v>
      </c>
      <c r="E10" s="32">
        <v>504</v>
      </c>
      <c r="F10" s="32">
        <v>703</v>
      </c>
      <c r="G10" s="32">
        <v>464</v>
      </c>
      <c r="H10" s="32">
        <v>220</v>
      </c>
      <c r="I10" s="32">
        <v>159</v>
      </c>
      <c r="J10" s="32">
        <v>152</v>
      </c>
      <c r="K10" s="32">
        <v>175</v>
      </c>
      <c r="L10" s="32">
        <v>208</v>
      </c>
      <c r="M10" s="32">
        <v>312</v>
      </c>
      <c r="N10" s="32">
        <v>379</v>
      </c>
      <c r="O10" s="32">
        <v>467</v>
      </c>
      <c r="P10" s="32">
        <f t="shared" si="0"/>
        <v>4524</v>
      </c>
      <c r="Q10" s="34"/>
      <c r="S10" s="35">
        <f>P10/$P$11</f>
        <v>0.44762429638190149</v>
      </c>
      <c r="T10" s="36"/>
      <c r="U10" s="34"/>
      <c r="W10" s="35"/>
    </row>
    <row r="11" spans="1:26" ht="12" customHeight="1" x14ac:dyDescent="0.25">
      <c r="A11" s="25">
        <v>2013</v>
      </c>
      <c r="B11" s="26" t="s">
        <v>25</v>
      </c>
      <c r="C11" s="30" t="s">
        <v>26</v>
      </c>
      <c r="D11" s="32">
        <f t="shared" ref="D11:N11" si="1">SUM(D9:D10)</f>
        <v>1608</v>
      </c>
      <c r="E11" s="32">
        <f t="shared" si="1"/>
        <v>1081</v>
      </c>
      <c r="F11" s="32">
        <f t="shared" si="1"/>
        <v>1510</v>
      </c>
      <c r="G11" s="32">
        <f t="shared" si="1"/>
        <v>972</v>
      </c>
      <c r="H11" s="32">
        <f t="shared" si="1"/>
        <v>500</v>
      </c>
      <c r="I11" s="32">
        <f t="shared" si="1"/>
        <v>329</v>
      </c>
      <c r="J11" s="32">
        <f t="shared" si="1"/>
        <v>334</v>
      </c>
      <c r="K11" s="32">
        <f t="shared" si="1"/>
        <v>398</v>
      </c>
      <c r="L11" s="32">
        <f t="shared" si="1"/>
        <v>520</v>
      </c>
      <c r="M11" s="32">
        <f t="shared" si="1"/>
        <v>764</v>
      </c>
      <c r="N11" s="32">
        <f t="shared" si="1"/>
        <v>947</v>
      </c>
      <c r="O11" s="32">
        <v>1143.69</v>
      </c>
      <c r="P11" s="33">
        <f t="shared" si="0"/>
        <v>10106.69</v>
      </c>
      <c r="Q11" s="34"/>
      <c r="S11" s="35">
        <f>P11/$P$11</f>
        <v>1</v>
      </c>
      <c r="T11" s="36"/>
      <c r="U11" s="34"/>
    </row>
    <row r="12" spans="1:26" ht="12" customHeight="1" x14ac:dyDescent="0.25">
      <c r="A12" s="25">
        <v>2013</v>
      </c>
      <c r="B12" s="26" t="s">
        <v>28</v>
      </c>
      <c r="C12" s="30" t="s">
        <v>26</v>
      </c>
      <c r="D12" s="43">
        <f>0.488*D13</f>
        <v>368.928</v>
      </c>
      <c r="E12" s="43">
        <f>0.488*E13</f>
        <v>283.52800000000002</v>
      </c>
      <c r="F12" s="43">
        <f>0.488*F13</f>
        <v>375.76</v>
      </c>
      <c r="G12" s="43">
        <f>3*30</f>
        <v>90</v>
      </c>
      <c r="H12" s="43">
        <v>20</v>
      </c>
      <c r="I12" s="32">
        <v>0</v>
      </c>
      <c r="J12" s="32">
        <v>0</v>
      </c>
      <c r="K12" s="64">
        <v>0</v>
      </c>
      <c r="L12" s="43">
        <f>0.488*L13</f>
        <v>46.847999999999999</v>
      </c>
      <c r="M12" s="43">
        <f>0.488*M13</f>
        <v>170.79999999999998</v>
      </c>
      <c r="N12" s="43">
        <f>0.488*N13</f>
        <v>214.72</v>
      </c>
      <c r="O12" s="43">
        <v>171</v>
      </c>
      <c r="P12" s="43">
        <f t="shared" si="0"/>
        <v>1741.5839999999998</v>
      </c>
      <c r="Q12" s="34"/>
      <c r="R12" s="35"/>
      <c r="S12" s="35">
        <f>P12/$P$11</f>
        <v>0.17231991878646716</v>
      </c>
      <c r="T12" s="36"/>
      <c r="U12" s="34"/>
    </row>
    <row r="13" spans="1:26" ht="12" customHeight="1" x14ac:dyDescent="0.25">
      <c r="A13" s="25">
        <v>2013</v>
      </c>
      <c r="B13" s="40" t="s">
        <v>29</v>
      </c>
      <c r="C13" s="30" t="s">
        <v>66</v>
      </c>
      <c r="D13" s="32">
        <v>756</v>
      </c>
      <c r="E13" s="32">
        <v>581</v>
      </c>
      <c r="F13" s="32">
        <v>770</v>
      </c>
      <c r="G13" s="32">
        <v>433</v>
      </c>
      <c r="H13" s="32">
        <v>64</v>
      </c>
      <c r="I13" s="32">
        <v>0</v>
      </c>
      <c r="J13" s="32">
        <v>0</v>
      </c>
      <c r="K13" s="32">
        <v>0</v>
      </c>
      <c r="L13" s="32">
        <v>96</v>
      </c>
      <c r="M13" s="32">
        <v>350</v>
      </c>
      <c r="N13" s="32">
        <v>440</v>
      </c>
      <c r="O13" s="32">
        <v>541</v>
      </c>
      <c r="P13" s="32">
        <f t="shared" si="0"/>
        <v>4031</v>
      </c>
      <c r="Q13" s="42"/>
      <c r="R13" s="42"/>
      <c r="S13" s="35"/>
      <c r="U13" s="34"/>
      <c r="V13" s="35"/>
    </row>
    <row r="14" spans="1:26" ht="12" customHeight="1" x14ac:dyDescent="0.25">
      <c r="A14" s="25">
        <v>2013</v>
      </c>
      <c r="B14" s="40" t="s">
        <v>31</v>
      </c>
      <c r="C14" s="30" t="s">
        <v>66</v>
      </c>
      <c r="D14" s="32">
        <v>771</v>
      </c>
      <c r="E14" s="32">
        <v>702</v>
      </c>
      <c r="F14" s="32">
        <v>624</v>
      </c>
      <c r="G14" s="32">
        <v>425</v>
      </c>
      <c r="H14" s="32">
        <v>177</v>
      </c>
      <c r="I14" s="32">
        <v>26</v>
      </c>
      <c r="J14" s="32">
        <v>6</v>
      </c>
      <c r="K14" s="32">
        <v>34</v>
      </c>
      <c r="L14" s="32">
        <v>204</v>
      </c>
      <c r="M14" s="32">
        <v>404</v>
      </c>
      <c r="N14" s="32">
        <v>548</v>
      </c>
      <c r="O14" s="32">
        <v>691</v>
      </c>
      <c r="P14" s="32">
        <f t="shared" si="0"/>
        <v>4612</v>
      </c>
      <c r="R14" s="42"/>
      <c r="T14" s="42"/>
      <c r="U14" s="34"/>
      <c r="V14" s="34"/>
    </row>
    <row r="15" spans="1:26" ht="12" customHeight="1" x14ac:dyDescent="0.25">
      <c r="A15" s="25">
        <v>2013</v>
      </c>
      <c r="B15" s="26" t="s">
        <v>32</v>
      </c>
      <c r="C15" s="30" t="s">
        <v>26</v>
      </c>
      <c r="D15" s="32">
        <f t="shared" ref="D15:O15" si="2">$K$3*D7</f>
        <v>419.51086956521738</v>
      </c>
      <c r="E15" s="32">
        <f t="shared" si="2"/>
        <v>378.91304347826087</v>
      </c>
      <c r="F15" s="32">
        <f t="shared" si="2"/>
        <v>419.51086956521738</v>
      </c>
      <c r="G15" s="32">
        <f t="shared" si="2"/>
        <v>405.97826086956519</v>
      </c>
      <c r="H15" s="32">
        <f t="shared" si="2"/>
        <v>419.51086956521738</v>
      </c>
      <c r="I15" s="32">
        <f t="shared" si="2"/>
        <v>405.97826086956519</v>
      </c>
      <c r="J15" s="32">
        <f t="shared" si="2"/>
        <v>419.51086956521738</v>
      </c>
      <c r="K15" s="32">
        <f t="shared" si="2"/>
        <v>419.51086956521738</v>
      </c>
      <c r="L15" s="32">
        <f t="shared" si="2"/>
        <v>405.97826086956519</v>
      </c>
      <c r="M15" s="32">
        <f t="shared" si="2"/>
        <v>419.51086956521738</v>
      </c>
      <c r="N15" s="32">
        <f t="shared" si="2"/>
        <v>405.97826086956519</v>
      </c>
      <c r="O15" s="32">
        <f t="shared" si="2"/>
        <v>419.51086956521738</v>
      </c>
      <c r="P15" s="32">
        <f t="shared" si="0"/>
        <v>4939.4021739130421</v>
      </c>
      <c r="U15" s="34"/>
    </row>
    <row r="16" spans="1:26" ht="12" customHeight="1" x14ac:dyDescent="0.25">
      <c r="A16" s="25">
        <v>2013</v>
      </c>
      <c r="B16" s="26" t="s">
        <v>33</v>
      </c>
      <c r="C16" s="30" t="s">
        <v>26</v>
      </c>
      <c r="D16" s="32">
        <f>D11-D15</f>
        <v>1188.4891304347825</v>
      </c>
      <c r="E16" s="32">
        <f>E11-E15</f>
        <v>702.08695652173913</v>
      </c>
      <c r="F16" s="32">
        <f>F11-F15</f>
        <v>1090.4891304347825</v>
      </c>
      <c r="G16" s="32">
        <f>G11-G15</f>
        <v>566.02173913043475</v>
      </c>
      <c r="H16" s="32">
        <f>H11-H15</f>
        <v>80.489130434782624</v>
      </c>
      <c r="I16" s="32">
        <v>20</v>
      </c>
      <c r="J16" s="32">
        <v>0</v>
      </c>
      <c r="K16" s="32">
        <v>60</v>
      </c>
      <c r="L16" s="32">
        <f>L11-L15</f>
        <v>114.02173913043481</v>
      </c>
      <c r="M16" s="32">
        <f>M11-M15</f>
        <v>344.48913043478262</v>
      </c>
      <c r="N16" s="32">
        <f>N11-N15</f>
        <v>541.02173913043475</v>
      </c>
      <c r="O16" s="32">
        <f>O11-O15</f>
        <v>724.17913043478268</v>
      </c>
      <c r="P16" s="32">
        <f t="shared" si="0"/>
        <v>5431.2878260869566</v>
      </c>
      <c r="R16" s="35"/>
      <c r="T16" s="36"/>
      <c r="U16" s="34"/>
    </row>
    <row r="17" spans="1:26" ht="12" customHeight="1" x14ac:dyDescent="0.25">
      <c r="A17" s="25">
        <v>2013</v>
      </c>
      <c r="B17" s="26" t="s">
        <v>34</v>
      </c>
      <c r="C17" s="30" t="s">
        <v>26</v>
      </c>
      <c r="D17" s="32">
        <f>IF(D16&lt;0,0,((D14/D13))*D16)</f>
        <v>1212.0702639751551</v>
      </c>
      <c r="E17" s="32">
        <f>IF(E16&lt;0,0,((E14/E13))*E16)</f>
        <v>848.30472199356439</v>
      </c>
      <c r="F17" s="32">
        <f>IF(F16&lt;0,0,((F14/F13))*F16)</f>
        <v>883.72106154714845</v>
      </c>
      <c r="G17" s="32">
        <f>IF(G16&lt;0,0,((G14/G13))*G16)</f>
        <v>555.56406265689327</v>
      </c>
      <c r="H17" s="32">
        <f>IF(H16&lt;0,0,((H14/H13))*H16)</f>
        <v>222.60275135869568</v>
      </c>
      <c r="I17" s="32">
        <f>I16</f>
        <v>20</v>
      </c>
      <c r="J17" s="32">
        <v>0</v>
      </c>
      <c r="K17" s="32">
        <v>60</v>
      </c>
      <c r="L17" s="32">
        <f>IF(L16&lt;0,0,((L14/L13))*L16)</f>
        <v>242.29619565217396</v>
      </c>
      <c r="M17" s="32">
        <f>IF(M16&lt;0,0,((M14/M13))*M16)</f>
        <v>397.63888198757769</v>
      </c>
      <c r="N17" s="32">
        <f>IF(N16&lt;0,0,((N14/N13))*N16)</f>
        <v>673.81798418972323</v>
      </c>
      <c r="O17" s="32">
        <f>IF(O16&lt;0,0,((O14/O13))*O16)</f>
        <v>924.96816844812349</v>
      </c>
      <c r="P17" s="33">
        <f t="shared" si="0"/>
        <v>6040.9840918090558</v>
      </c>
      <c r="Q17" s="44"/>
      <c r="R17" s="34">
        <f>P16-P12</f>
        <v>3689.7038260869567</v>
      </c>
      <c r="T17" s="42"/>
      <c r="U17" s="34"/>
    </row>
    <row r="18" spans="1:26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6" ht="12" customHeight="1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26" ht="12" customHeight="1" x14ac:dyDescent="0.25">
      <c r="A20" s="9" t="s">
        <v>35</v>
      </c>
      <c r="B20" s="10"/>
      <c r="C20" s="9" t="s">
        <v>5</v>
      </c>
      <c r="D20" s="4">
        <f t="shared" ref="D20:O20" si="3">D11/D7</f>
        <v>51.87096774193548</v>
      </c>
      <c r="E20" s="4">
        <f t="shared" si="3"/>
        <v>38.607142857142854</v>
      </c>
      <c r="F20" s="4">
        <f t="shared" si="3"/>
        <v>48.70967741935484</v>
      </c>
      <c r="G20" s="4">
        <f t="shared" si="3"/>
        <v>32.4</v>
      </c>
      <c r="H20" s="4">
        <f t="shared" si="3"/>
        <v>16.129032258064516</v>
      </c>
      <c r="I20" s="4">
        <f t="shared" si="3"/>
        <v>10.966666666666667</v>
      </c>
      <c r="J20" s="4">
        <f t="shared" si="3"/>
        <v>10.774193548387096</v>
      </c>
      <c r="K20" s="4">
        <f t="shared" si="3"/>
        <v>12.838709677419354</v>
      </c>
      <c r="L20" s="4">
        <f t="shared" si="3"/>
        <v>17.333333333333332</v>
      </c>
      <c r="M20" s="4">
        <f t="shared" si="3"/>
        <v>24.64516129032258</v>
      </c>
      <c r="N20" s="4">
        <f t="shared" si="3"/>
        <v>31.566666666666666</v>
      </c>
      <c r="O20" s="4">
        <f t="shared" si="3"/>
        <v>36.893225806451618</v>
      </c>
      <c r="P20" s="4">
        <f>P10/365</f>
        <v>12.394520547945206</v>
      </c>
    </row>
    <row r="21" spans="1:26" ht="12" customHeight="1" x14ac:dyDescent="0.3">
      <c r="A21" s="10"/>
      <c r="B21" s="47" t="s">
        <v>36</v>
      </c>
      <c r="C21" s="11" t="s">
        <v>26</v>
      </c>
      <c r="D21" s="4">
        <f>SUM(D11)</f>
        <v>1608</v>
      </c>
      <c r="E21" s="4">
        <f>SUM($D$11:E11)</f>
        <v>2689</v>
      </c>
      <c r="F21" s="4">
        <f>SUM($D$11:F11)</f>
        <v>4199</v>
      </c>
      <c r="G21" s="4">
        <f>SUM($D$11:G11)</f>
        <v>5171</v>
      </c>
      <c r="H21" s="4">
        <f>SUM($D$11:H11)</f>
        <v>5671</v>
      </c>
      <c r="I21" s="4">
        <f>SUM($D$11:I11)</f>
        <v>6000</v>
      </c>
      <c r="J21" s="4">
        <f>SUM($D$11:J11)</f>
        <v>6334</v>
      </c>
      <c r="K21" s="4">
        <f>SUM($D$11:K11)</f>
        <v>6732</v>
      </c>
      <c r="L21" s="4">
        <f>SUM($D$11:L11)</f>
        <v>7252</v>
      </c>
      <c r="M21" s="4">
        <f>SUM($D$11:M11)</f>
        <v>8016</v>
      </c>
      <c r="N21" s="4">
        <f>SUM($D$11:N11)</f>
        <v>8963</v>
      </c>
      <c r="O21" s="4">
        <f>SUM($D$11:O11)</f>
        <v>10106.69</v>
      </c>
      <c r="P21" s="4"/>
    </row>
    <row r="22" spans="1:26" ht="12" customHeight="1" x14ac:dyDescent="0.3">
      <c r="A22" s="10"/>
      <c r="B22" s="47" t="s">
        <v>37</v>
      </c>
      <c r="C22" s="11" t="s">
        <v>26</v>
      </c>
      <c r="D22" s="4">
        <f>SUM(D12)</f>
        <v>368.928</v>
      </c>
      <c r="E22" s="4">
        <f>SUM($D$12:E12)</f>
        <v>652.45600000000002</v>
      </c>
      <c r="F22" s="4">
        <f>SUM($D$12:F12)</f>
        <v>1028.2159999999999</v>
      </c>
      <c r="G22" s="4">
        <f>SUM($D$12:G12)</f>
        <v>1118.2159999999999</v>
      </c>
      <c r="H22" s="4">
        <f>SUM($D$12:H12)</f>
        <v>1138.2159999999999</v>
      </c>
      <c r="I22" s="4">
        <f>SUM($D$12:I12)</f>
        <v>1138.2159999999999</v>
      </c>
      <c r="J22" s="4">
        <f>SUM($D$12:J12)</f>
        <v>1138.2159999999999</v>
      </c>
      <c r="K22" s="4">
        <f>SUM($D$12:K12)</f>
        <v>1138.2159999999999</v>
      </c>
      <c r="L22" s="4">
        <f>SUM($D$12:L12)</f>
        <v>1185.0639999999999</v>
      </c>
      <c r="M22" s="4">
        <f>SUM($D$12:M12)</f>
        <v>1355.8639999999998</v>
      </c>
      <c r="N22" s="4">
        <f>SUM($D$12:N12)</f>
        <v>1570.5839999999998</v>
      </c>
      <c r="O22" s="4">
        <f>SUM($D$12:O12)</f>
        <v>1741.5839999999998</v>
      </c>
      <c r="P22" s="4"/>
      <c r="R22" s="36"/>
    </row>
    <row r="23" spans="1:26" ht="12" customHeight="1" x14ac:dyDescent="0.3">
      <c r="A23" s="10"/>
      <c r="B23" s="47" t="s">
        <v>38</v>
      </c>
      <c r="C23" s="11" t="s">
        <v>26</v>
      </c>
      <c r="D23" s="4">
        <f>SUM(D16)</f>
        <v>1188.4891304347825</v>
      </c>
      <c r="E23" s="4">
        <f>SUM($D$16:E16)</f>
        <v>1890.5760869565215</v>
      </c>
      <c r="F23" s="4">
        <f>SUM($D$16:F16)</f>
        <v>2981.065217391304</v>
      </c>
      <c r="G23" s="4">
        <f>SUM($D$16:G16)</f>
        <v>3547.086956521739</v>
      </c>
      <c r="H23" s="4">
        <f>SUM($D$16:H16)</f>
        <v>3627.5760869565215</v>
      </c>
      <c r="I23" s="4">
        <f>SUM($D$16:I16)</f>
        <v>3647.5760869565215</v>
      </c>
      <c r="J23" s="4">
        <f>SUM($D$16:J16)</f>
        <v>3647.5760869565215</v>
      </c>
      <c r="K23" s="4">
        <f>SUM($D$16:K16)</f>
        <v>3707.5760869565215</v>
      </c>
      <c r="L23" s="4">
        <f>SUM($D$16:L16)</f>
        <v>3821.5978260869565</v>
      </c>
      <c r="M23" s="4">
        <f>SUM($D$16:M16)</f>
        <v>4166.086956521739</v>
      </c>
      <c r="N23" s="4">
        <f>SUM($D$16:N16)</f>
        <v>4707.108695652174</v>
      </c>
      <c r="O23" s="4">
        <f>SUM($D$16:O16)</f>
        <v>5431.2878260869566</v>
      </c>
      <c r="P23" s="4"/>
      <c r="S23" s="48"/>
    </row>
    <row r="24" spans="1:26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/>
      <c r="S24" s="48"/>
    </row>
    <row r="25" spans="1:26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14"/>
      <c r="U25" s="50"/>
      <c r="V25" s="34"/>
    </row>
    <row r="26" spans="1:26" ht="12" customHeight="1" x14ac:dyDescent="0.25">
      <c r="A26" s="9"/>
      <c r="B26" s="9" t="s">
        <v>40</v>
      </c>
      <c r="C26" s="9"/>
      <c r="D26" s="51">
        <f t="shared" ref="D26:P26" si="4">D16/D11</f>
        <v>0.73911015574302397</v>
      </c>
      <c r="E26" s="51">
        <f t="shared" si="4"/>
        <v>0.6494791457185376</v>
      </c>
      <c r="F26" s="51">
        <f t="shared" si="4"/>
        <v>0.72217823207601495</v>
      </c>
      <c r="G26" s="51">
        <f t="shared" si="4"/>
        <v>0.58232689210950073</v>
      </c>
      <c r="H26" s="51">
        <f t="shared" si="4"/>
        <v>0.16097826086956524</v>
      </c>
      <c r="I26" s="51">
        <f t="shared" si="4"/>
        <v>6.0790273556231005E-2</v>
      </c>
      <c r="J26" s="51">
        <f t="shared" si="4"/>
        <v>0</v>
      </c>
      <c r="K26" s="51">
        <f t="shared" si="4"/>
        <v>0.15075376884422109</v>
      </c>
      <c r="L26" s="51">
        <f t="shared" si="4"/>
        <v>0.21927257525083618</v>
      </c>
      <c r="M26" s="51">
        <f t="shared" si="4"/>
        <v>0.45090200318688828</v>
      </c>
      <c r="N26" s="51">
        <f t="shared" si="4"/>
        <v>0.57130067490014225</v>
      </c>
      <c r="O26" s="51">
        <f t="shared" si="4"/>
        <v>0.63319529805697583</v>
      </c>
      <c r="P26" s="51">
        <f t="shared" si="4"/>
        <v>0.53739531202470403</v>
      </c>
      <c r="Q26" s="34"/>
      <c r="R26" s="34"/>
      <c r="S26" s="34"/>
      <c r="T26" s="34"/>
      <c r="U26" s="34"/>
      <c r="V26" s="34"/>
      <c r="W26" s="9"/>
      <c r="X26" s="9"/>
      <c r="Y26" s="9"/>
      <c r="Z26" s="9"/>
    </row>
    <row r="27" spans="1:26" ht="12" customHeight="1" x14ac:dyDescent="0.3">
      <c r="B27" s="47" t="s">
        <v>41</v>
      </c>
      <c r="C27" s="9" t="s">
        <v>42</v>
      </c>
      <c r="D27" s="4">
        <f t="shared" ref="D27:P27" si="5">D16/D13</f>
        <v>1.5720755693581778</v>
      </c>
      <c r="E27" s="4">
        <f t="shared" si="5"/>
        <v>1.2084112848911173</v>
      </c>
      <c r="F27" s="4">
        <f t="shared" si="5"/>
        <v>1.4162196499153019</v>
      </c>
      <c r="G27" s="4">
        <f t="shared" si="5"/>
        <v>1.30720955919269</v>
      </c>
      <c r="H27" s="4">
        <f t="shared" si="5"/>
        <v>1.2576426630434785</v>
      </c>
      <c r="I27" s="4" t="e">
        <f t="shared" si="5"/>
        <v>#DIV/0!</v>
      </c>
      <c r="J27" s="4" t="e">
        <f t="shared" si="5"/>
        <v>#DIV/0!</v>
      </c>
      <c r="K27" s="4" t="e">
        <f t="shared" si="5"/>
        <v>#DIV/0!</v>
      </c>
      <c r="L27" s="4">
        <f t="shared" si="5"/>
        <v>1.1877264492753625</v>
      </c>
      <c r="M27" s="4">
        <f t="shared" si="5"/>
        <v>0.98425465838509318</v>
      </c>
      <c r="N27" s="4">
        <f t="shared" si="5"/>
        <v>1.2295948616600789</v>
      </c>
      <c r="O27" s="4">
        <f t="shared" si="5"/>
        <v>1.3385935867556056</v>
      </c>
      <c r="P27" s="4">
        <f t="shared" si="5"/>
        <v>1.3473797633557323</v>
      </c>
      <c r="U27" s="14"/>
    </row>
    <row r="28" spans="1:26" ht="12" customHeight="1" x14ac:dyDescent="0.3">
      <c r="B28" s="47" t="s">
        <v>41</v>
      </c>
      <c r="C28" s="11" t="s">
        <v>5</v>
      </c>
      <c r="D28" s="4">
        <f t="shared" ref="D28:P28" si="6">D16/D7</f>
        <v>38.338359046283308</v>
      </c>
      <c r="E28" s="4">
        <f t="shared" si="6"/>
        <v>25.074534161490682</v>
      </c>
      <c r="F28" s="4">
        <f t="shared" si="6"/>
        <v>35.177068723702661</v>
      </c>
      <c r="G28" s="4">
        <f t="shared" si="6"/>
        <v>18.867391304347827</v>
      </c>
      <c r="H28" s="4">
        <f t="shared" si="6"/>
        <v>2.5964235624123426</v>
      </c>
      <c r="I28" s="4">
        <f t="shared" si="6"/>
        <v>0.66666666666666663</v>
      </c>
      <c r="J28" s="4">
        <f t="shared" si="6"/>
        <v>0</v>
      </c>
      <c r="K28" s="4">
        <f t="shared" si="6"/>
        <v>1.935483870967742</v>
      </c>
      <c r="L28" s="4">
        <f t="shared" si="6"/>
        <v>3.8007246376811605</v>
      </c>
      <c r="M28" s="4">
        <f t="shared" si="6"/>
        <v>11.112552594670408</v>
      </c>
      <c r="N28" s="4">
        <f t="shared" si="6"/>
        <v>18.034057971014491</v>
      </c>
      <c r="O28" s="4">
        <f t="shared" si="6"/>
        <v>23.360617110799442</v>
      </c>
      <c r="P28" s="4">
        <f t="shared" si="6"/>
        <v>14.88024061941632</v>
      </c>
      <c r="T28" s="52"/>
      <c r="U28" s="34"/>
    </row>
    <row r="29" spans="1:26" ht="12" customHeight="1" x14ac:dyDescent="0.3">
      <c r="B29" s="47" t="s">
        <v>43</v>
      </c>
      <c r="C29" s="11" t="s">
        <v>5</v>
      </c>
      <c r="D29" s="4">
        <f t="shared" ref="D29:P29" si="7">D17/D7</f>
        <v>39.099040773392097</v>
      </c>
      <c r="E29" s="4">
        <f t="shared" si="7"/>
        <v>30.296597214055872</v>
      </c>
      <c r="F29" s="4">
        <f t="shared" si="7"/>
        <v>28.50713101764995</v>
      </c>
      <c r="G29" s="4">
        <f t="shared" si="7"/>
        <v>18.51880208856311</v>
      </c>
      <c r="H29" s="4">
        <f t="shared" si="7"/>
        <v>7.1807339147966349</v>
      </c>
      <c r="I29" s="4">
        <f t="shared" si="7"/>
        <v>0.66666666666666663</v>
      </c>
      <c r="J29" s="4">
        <f t="shared" si="7"/>
        <v>0</v>
      </c>
      <c r="K29" s="4">
        <f t="shared" si="7"/>
        <v>1.935483870967742</v>
      </c>
      <c r="L29" s="4">
        <f t="shared" si="7"/>
        <v>8.0765398550724647</v>
      </c>
      <c r="M29" s="4">
        <f t="shared" si="7"/>
        <v>12.827060709276699</v>
      </c>
      <c r="N29" s="4">
        <f t="shared" si="7"/>
        <v>22.460599472990776</v>
      </c>
      <c r="O29" s="4">
        <f t="shared" si="7"/>
        <v>29.837682853165273</v>
      </c>
      <c r="P29" s="4">
        <f t="shared" si="7"/>
        <v>16.550641347422072</v>
      </c>
      <c r="U29" s="34"/>
    </row>
    <row r="30" spans="1:26" ht="12" customHeight="1" x14ac:dyDescent="0.3">
      <c r="B30" s="47" t="s">
        <v>44</v>
      </c>
      <c r="C30" s="47" t="s">
        <v>45</v>
      </c>
      <c r="D30" s="4">
        <f t="shared" ref="D30:P30" si="8">D16/$F$4</f>
        <v>4.287478825522304</v>
      </c>
      <c r="E30" s="4">
        <f t="shared" si="8"/>
        <v>2.5327812284334024</v>
      </c>
      <c r="F30" s="4">
        <f t="shared" si="8"/>
        <v>3.9339434719869502</v>
      </c>
      <c r="G30" s="4">
        <f t="shared" si="8"/>
        <v>2.0419254658385091</v>
      </c>
      <c r="H30" s="4">
        <f t="shared" si="8"/>
        <v>0.29036482840830674</v>
      </c>
      <c r="I30" s="4">
        <f t="shared" si="8"/>
        <v>7.2150072150072159E-2</v>
      </c>
      <c r="J30" s="4">
        <f t="shared" si="8"/>
        <v>0</v>
      </c>
      <c r="K30" s="4">
        <f t="shared" si="8"/>
        <v>0.21645021645021645</v>
      </c>
      <c r="L30" s="4">
        <f t="shared" si="8"/>
        <v>0.41133383524687883</v>
      </c>
      <c r="M30" s="4">
        <f t="shared" si="8"/>
        <v>1.2427457807892592</v>
      </c>
      <c r="N30" s="4">
        <f t="shared" si="8"/>
        <v>1.9517378756509192</v>
      </c>
      <c r="O30" s="4">
        <f t="shared" si="8"/>
        <v>2.6124788255223041</v>
      </c>
      <c r="P30" s="4">
        <f t="shared" si="8"/>
        <v>19.593390425999122</v>
      </c>
      <c r="U30" s="34"/>
    </row>
    <row r="31" spans="1:26" ht="12" customHeight="1" x14ac:dyDescent="0.3">
      <c r="B31" s="47" t="s">
        <v>44</v>
      </c>
      <c r="C31" s="47" t="s">
        <v>46</v>
      </c>
      <c r="D31" s="4">
        <f t="shared" ref="D31:P31" si="9">D16/$F$3</f>
        <v>10.804446640316204</v>
      </c>
      <c r="E31" s="4">
        <f t="shared" si="9"/>
        <v>6.3826086956521735</v>
      </c>
      <c r="F31" s="4">
        <f t="shared" si="9"/>
        <v>9.9135375494071134</v>
      </c>
      <c r="G31" s="4">
        <f t="shared" si="9"/>
        <v>5.1456521739130432</v>
      </c>
      <c r="H31" s="4">
        <f t="shared" si="9"/>
        <v>0.73171936758893297</v>
      </c>
      <c r="I31" s="4">
        <f t="shared" si="9"/>
        <v>0.18181818181818182</v>
      </c>
      <c r="J31" s="4">
        <f t="shared" si="9"/>
        <v>0</v>
      </c>
      <c r="K31" s="4">
        <f t="shared" si="9"/>
        <v>0.54545454545454541</v>
      </c>
      <c r="L31" s="4">
        <f t="shared" si="9"/>
        <v>1.0365612648221347</v>
      </c>
      <c r="M31" s="4">
        <f t="shared" si="9"/>
        <v>3.131719367588933</v>
      </c>
      <c r="N31" s="4">
        <f t="shared" si="9"/>
        <v>4.9183794466403157</v>
      </c>
      <c r="O31" s="4">
        <f t="shared" si="9"/>
        <v>6.5834466403162057</v>
      </c>
      <c r="P31" s="4">
        <f t="shared" si="9"/>
        <v>49.375343873517785</v>
      </c>
      <c r="U31" s="34"/>
    </row>
    <row r="32" spans="1:26" ht="12" customHeight="1" x14ac:dyDescent="0.3">
      <c r="B32" s="47" t="s">
        <v>47</v>
      </c>
      <c r="C32" s="47" t="s">
        <v>45</v>
      </c>
      <c r="D32" s="4">
        <f t="shared" ref="D32:P32" si="10">D17/$F$4</f>
        <v>4.372547849838222</v>
      </c>
      <c r="E32" s="4">
        <f t="shared" si="10"/>
        <v>3.0602623448541286</v>
      </c>
      <c r="F32" s="4">
        <f t="shared" si="10"/>
        <v>3.1880269175582558</v>
      </c>
      <c r="G32" s="4">
        <f t="shared" si="10"/>
        <v>2.0041993602341028</v>
      </c>
      <c r="H32" s="4">
        <f t="shared" si="10"/>
        <v>0.8030402285667233</v>
      </c>
      <c r="I32" s="4">
        <f t="shared" si="10"/>
        <v>7.2150072150072159E-2</v>
      </c>
      <c r="J32" s="4">
        <f t="shared" si="10"/>
        <v>0</v>
      </c>
      <c r="K32" s="4">
        <f t="shared" si="10"/>
        <v>0.21645021645021645</v>
      </c>
      <c r="L32" s="4">
        <f t="shared" si="10"/>
        <v>0.8740843998996175</v>
      </c>
      <c r="M32" s="4">
        <f t="shared" si="10"/>
        <v>1.4344837012538878</v>
      </c>
      <c r="N32" s="4">
        <f t="shared" si="10"/>
        <v>2.4308008087652353</v>
      </c>
      <c r="O32" s="4">
        <f t="shared" si="10"/>
        <v>3.3368260045026101</v>
      </c>
      <c r="P32" s="4">
        <f t="shared" si="10"/>
        <v>21.792871904073074</v>
      </c>
      <c r="U32" s="34"/>
    </row>
    <row r="33" spans="1:16" ht="12" customHeight="1" x14ac:dyDescent="0.3">
      <c r="B33" s="47" t="s">
        <v>47</v>
      </c>
      <c r="C33" s="47" t="s">
        <v>46</v>
      </c>
      <c r="D33" s="4">
        <f t="shared" ref="D33:P33" si="11">D17/$F$3</f>
        <v>11.018820581592319</v>
      </c>
      <c r="E33" s="4">
        <f t="shared" si="11"/>
        <v>7.7118611090324034</v>
      </c>
      <c r="F33" s="4">
        <f t="shared" si="11"/>
        <v>8.0338278322468035</v>
      </c>
      <c r="G33" s="4">
        <f t="shared" si="11"/>
        <v>5.0505823877899392</v>
      </c>
      <c r="H33" s="4">
        <f t="shared" si="11"/>
        <v>2.0236613759881426</v>
      </c>
      <c r="I33" s="4">
        <f t="shared" si="11"/>
        <v>0.18181818181818182</v>
      </c>
      <c r="J33" s="4">
        <f t="shared" si="11"/>
        <v>0</v>
      </c>
      <c r="K33" s="4">
        <f t="shared" si="11"/>
        <v>0.54545454545454541</v>
      </c>
      <c r="L33" s="4">
        <f t="shared" si="11"/>
        <v>2.2026926877470361</v>
      </c>
      <c r="M33" s="4">
        <f t="shared" si="11"/>
        <v>3.6148989271597971</v>
      </c>
      <c r="N33" s="4">
        <f t="shared" si="11"/>
        <v>6.1256180380883931</v>
      </c>
      <c r="O33" s="4">
        <f t="shared" si="11"/>
        <v>8.4088015313465778</v>
      </c>
      <c r="P33" s="4">
        <f t="shared" si="11"/>
        <v>54.918037198264145</v>
      </c>
    </row>
    <row r="34" spans="1:16" ht="12" customHeight="1" x14ac:dyDescent="0.3">
      <c r="B34" s="47" t="s">
        <v>44</v>
      </c>
      <c r="C34" s="47" t="s">
        <v>48</v>
      </c>
      <c r="D34" s="4">
        <f t="shared" ref="D34:P34" si="12">1000*D30/D13</f>
        <v>5.6712682877279148</v>
      </c>
      <c r="E34" s="4">
        <f t="shared" si="12"/>
        <v>4.3593480695927749</v>
      </c>
      <c r="F34" s="4">
        <f t="shared" si="12"/>
        <v>5.1090174960869481</v>
      </c>
      <c r="G34" s="4">
        <f t="shared" si="12"/>
        <v>4.7157632005508292</v>
      </c>
      <c r="H34" s="4">
        <f t="shared" si="12"/>
        <v>4.5369504438797925</v>
      </c>
      <c r="I34" s="4" t="e">
        <f t="shared" si="12"/>
        <v>#DIV/0!</v>
      </c>
      <c r="J34" s="4" t="e">
        <f t="shared" si="12"/>
        <v>#DIV/0!</v>
      </c>
      <c r="K34" s="4" t="e">
        <f t="shared" si="12"/>
        <v>#DIV/0!</v>
      </c>
      <c r="L34" s="4">
        <f t="shared" si="12"/>
        <v>4.2847274504883215</v>
      </c>
      <c r="M34" s="4">
        <f t="shared" si="12"/>
        <v>3.5507022308264551</v>
      </c>
      <c r="N34" s="4">
        <f t="shared" si="12"/>
        <v>4.4357678992066347</v>
      </c>
      <c r="O34" s="4">
        <f t="shared" si="12"/>
        <v>4.8289811932020417</v>
      </c>
      <c r="P34" s="4">
        <f t="shared" si="12"/>
        <v>4.8606773569831612</v>
      </c>
    </row>
    <row r="35" spans="1:16" ht="12" customHeight="1" x14ac:dyDescent="0.25">
      <c r="D35" s="36"/>
      <c r="E35" s="36"/>
      <c r="F35" s="36"/>
      <c r="G35" s="36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2" customHeight="1" x14ac:dyDescent="0.3">
      <c r="B38" s="47" t="s">
        <v>50</v>
      </c>
      <c r="D38" s="13">
        <f>4400*1.3</f>
        <v>5720</v>
      </c>
      <c r="E38" s="11" t="s">
        <v>26</v>
      </c>
      <c r="F38" s="51">
        <f>D38/$D$40</f>
        <v>0.53661545991750492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</row>
    <row r="39" spans="1:16" ht="12" customHeight="1" x14ac:dyDescent="0.25">
      <c r="B39" s="53" t="s">
        <v>53</v>
      </c>
      <c r="C39" s="53"/>
      <c r="D39" s="54">
        <f>K3*365</f>
        <v>4939.402173913043</v>
      </c>
      <c r="E39" s="55" t="s">
        <v>26</v>
      </c>
      <c r="F39" s="51">
        <f>D39/$D$40</f>
        <v>0.46338454008249497</v>
      </c>
      <c r="G39" s="11" t="s">
        <v>54</v>
      </c>
      <c r="H39" s="4"/>
      <c r="I39" s="4"/>
      <c r="J39" s="4"/>
      <c r="K39" s="4">
        <f>K38-D38</f>
        <v>2846</v>
      </c>
      <c r="L39" s="11" t="s">
        <v>26</v>
      </c>
      <c r="M39" s="4"/>
      <c r="N39" s="13">
        <f>'2007'!I36</f>
        <v>14540</v>
      </c>
      <c r="O39" s="11" t="s">
        <v>26</v>
      </c>
      <c r="P39" s="4"/>
    </row>
    <row r="40" spans="1:16" ht="12" customHeight="1" x14ac:dyDescent="0.3">
      <c r="B40" s="47" t="s">
        <v>22</v>
      </c>
      <c r="D40" s="13">
        <f>SUM(D38:D39)</f>
        <v>10659.402173913044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0.33224375437777259</v>
      </c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0.21073048868528454</v>
      </c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4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4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4:16" ht="12" customHeight="1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4:16" ht="12" customHeight="1" x14ac:dyDescent="0.2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4:16" ht="12" customHeight="1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4:16" ht="12" customHeight="1" x14ac:dyDescent="0.2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4:16" ht="12" customHeigh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4:16" ht="12" customHeight="1" x14ac:dyDescent="0.2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4:16" ht="12" customHeight="1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4:16" ht="12" customHeight="1" x14ac:dyDescent="0.2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4:16" ht="12" customHeight="1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4:16" ht="12" customHeight="1" x14ac:dyDescent="0.2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4:16" ht="12" customHeight="1" x14ac:dyDescent="0.2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4:16" ht="12" customHeight="1" x14ac:dyDescent="0.2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4:16" ht="12" customHeight="1" x14ac:dyDescent="0.2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4:16" ht="12" customHeight="1" x14ac:dyDescent="0.2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ht="12" customHeight="1" x14ac:dyDescent="0.25">
      <c r="A65" s="48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2" customHeight="1" x14ac:dyDescent="0.25">
      <c r="A66" s="4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2" customHeight="1" x14ac:dyDescent="0.25">
      <c r="A67" s="4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2" customHeight="1" x14ac:dyDescent="0.25">
      <c r="A68" s="4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12" customHeight="1" x14ac:dyDescent="0.25">
      <c r="A70" s="56"/>
      <c r="D70" s="4"/>
      <c r="E70" s="4"/>
      <c r="F70" s="4"/>
      <c r="H70" s="4"/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5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A74" s="4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A75" s="4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A80" s="5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4:16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4:16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4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4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4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4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4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4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4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4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4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4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4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4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4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4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>
      <selection activeCell="P9" sqref="P9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6" width="8.6640625" customWidth="1"/>
  </cols>
  <sheetData>
    <row r="1" spans="1:26" ht="12" customHeight="1" x14ac:dyDescent="0.3">
      <c r="A1" s="2" t="s">
        <v>0</v>
      </c>
      <c r="D1" s="3">
        <v>2012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R1" s="61"/>
      <c r="S1" s="62"/>
    </row>
    <row r="2" spans="1:26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2"/>
      <c r="P2" s="4"/>
      <c r="Q2" s="8"/>
    </row>
    <row r="3" spans="1:26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f>3+K4</f>
        <v>16.304347826086957</v>
      </c>
      <c r="L3" s="11" t="s">
        <v>5</v>
      </c>
      <c r="M3" s="4"/>
      <c r="N3" s="4"/>
      <c r="O3" s="32"/>
      <c r="P3" s="4"/>
      <c r="Q3" s="8"/>
    </row>
    <row r="4" spans="1:26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f>SUM(I11:K11)/92</f>
        <v>13.304347826086957</v>
      </c>
      <c r="L4" s="11" t="s">
        <v>5</v>
      </c>
      <c r="M4" s="11"/>
      <c r="N4" s="11"/>
      <c r="O4" s="64"/>
      <c r="P4" s="11"/>
    </row>
    <row r="5" spans="1:26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  <c r="Q5" s="14"/>
      <c r="R5" s="14"/>
    </row>
    <row r="6" spans="1:26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 x14ac:dyDescent="0.25">
      <c r="A8" s="25">
        <v>2012</v>
      </c>
      <c r="B8" s="26" t="s">
        <v>23</v>
      </c>
      <c r="C8" s="30" t="s">
        <v>65</v>
      </c>
      <c r="D8" s="28">
        <v>-7.1</v>
      </c>
      <c r="E8" s="28">
        <v>-11.9</v>
      </c>
      <c r="F8" s="28">
        <v>-2</v>
      </c>
      <c r="G8" s="28">
        <v>2.2999999999999998</v>
      </c>
      <c r="H8" s="28">
        <v>10.8</v>
      </c>
      <c r="I8" s="28">
        <v>13.8</v>
      </c>
      <c r="J8" s="28">
        <v>17.399999999999999</v>
      </c>
      <c r="K8" s="28">
        <v>14.3</v>
      </c>
      <c r="L8" s="28">
        <v>10.8</v>
      </c>
      <c r="M8" s="28">
        <v>4.5</v>
      </c>
      <c r="N8" s="28">
        <v>1.8</v>
      </c>
      <c r="O8" s="28">
        <v>-10.1</v>
      </c>
      <c r="P8" s="28">
        <f>AVERAGE(D8:O8)</f>
        <v>3.7166666666666668</v>
      </c>
    </row>
    <row r="9" spans="1:26" ht="12" customHeight="1" x14ac:dyDescent="0.25">
      <c r="A9" s="25">
        <v>2012</v>
      </c>
      <c r="B9" s="26" t="s">
        <v>67</v>
      </c>
      <c r="C9" s="30" t="s">
        <v>26</v>
      </c>
      <c r="D9" s="32">
        <v>784</v>
      </c>
      <c r="E9" s="32">
        <v>947</v>
      </c>
      <c r="F9" s="32">
        <v>561</v>
      </c>
      <c r="G9" s="32">
        <v>400</v>
      </c>
      <c r="H9" s="32">
        <v>299</v>
      </c>
      <c r="I9" s="32">
        <v>221</v>
      </c>
      <c r="J9" s="32">
        <v>208</v>
      </c>
      <c r="K9" s="32">
        <v>276</v>
      </c>
      <c r="L9" s="32">
        <v>338</v>
      </c>
      <c r="M9" s="32">
        <v>465</v>
      </c>
      <c r="N9" s="32">
        <v>515</v>
      </c>
      <c r="O9" s="32">
        <v>992</v>
      </c>
      <c r="P9" s="32">
        <f>SUM(D9:O9)</f>
        <v>6006</v>
      </c>
      <c r="Q9" s="34"/>
      <c r="R9" s="35">
        <f>O9/$O$11</f>
        <v>0.51134020618556697</v>
      </c>
      <c r="S9" s="35"/>
      <c r="T9" s="36"/>
    </row>
    <row r="10" spans="1:26" ht="12" customHeight="1" x14ac:dyDescent="0.25">
      <c r="A10" s="25">
        <v>2012</v>
      </c>
      <c r="B10" s="26" t="s">
        <v>68</v>
      </c>
      <c r="C10" s="30" t="s">
        <v>26</v>
      </c>
      <c r="D10" s="32">
        <v>652</v>
      </c>
      <c r="E10" s="32">
        <v>753</v>
      </c>
      <c r="F10" s="32">
        <v>527</v>
      </c>
      <c r="G10" s="32">
        <v>381</v>
      </c>
      <c r="H10" s="32">
        <v>256</v>
      </c>
      <c r="I10" s="32">
        <v>166</v>
      </c>
      <c r="J10" s="32">
        <v>165</v>
      </c>
      <c r="K10" s="32">
        <v>188</v>
      </c>
      <c r="L10" s="32">
        <v>201</v>
      </c>
      <c r="M10" s="32">
        <v>299</v>
      </c>
      <c r="N10" s="32">
        <v>410</v>
      </c>
      <c r="O10" s="32">
        <v>948</v>
      </c>
      <c r="P10" s="32">
        <f>SUM(D10:O10)</f>
        <v>4946</v>
      </c>
      <c r="Q10" s="34"/>
      <c r="R10" s="35">
        <f>O10/$O$11</f>
        <v>0.48865979381443297</v>
      </c>
      <c r="S10" s="35"/>
      <c r="T10" s="36"/>
    </row>
    <row r="11" spans="1:26" ht="12" customHeight="1" x14ac:dyDescent="0.25">
      <c r="A11" s="25">
        <v>2012</v>
      </c>
      <c r="B11" s="26" t="s">
        <v>25</v>
      </c>
      <c r="C11" s="30" t="s">
        <v>26</v>
      </c>
      <c r="D11" s="32">
        <f t="shared" ref="D11:O11" si="0">SUM(D9:D10)</f>
        <v>1436</v>
      </c>
      <c r="E11" s="32">
        <f t="shared" si="0"/>
        <v>1700</v>
      </c>
      <c r="F11" s="32">
        <f t="shared" si="0"/>
        <v>1088</v>
      </c>
      <c r="G11" s="32">
        <f t="shared" si="0"/>
        <v>781</v>
      </c>
      <c r="H11" s="32">
        <f t="shared" si="0"/>
        <v>555</v>
      </c>
      <c r="I11" s="32">
        <f t="shared" si="0"/>
        <v>387</v>
      </c>
      <c r="J11" s="32">
        <f t="shared" si="0"/>
        <v>373</v>
      </c>
      <c r="K11" s="32">
        <f t="shared" si="0"/>
        <v>464</v>
      </c>
      <c r="L11" s="32">
        <f t="shared" si="0"/>
        <v>539</v>
      </c>
      <c r="M11" s="32">
        <f t="shared" si="0"/>
        <v>764</v>
      </c>
      <c r="N11" s="32">
        <f t="shared" si="0"/>
        <v>925</v>
      </c>
      <c r="O11" s="32">
        <f t="shared" si="0"/>
        <v>1940</v>
      </c>
      <c r="P11" s="33">
        <f>SUM(D11:O11)</f>
        <v>10952</v>
      </c>
      <c r="Q11" s="34"/>
      <c r="R11" s="35">
        <f>O11/$O$11</f>
        <v>1</v>
      </c>
      <c r="S11" s="35"/>
      <c r="T11" s="36"/>
    </row>
    <row r="12" spans="1:26" ht="12" customHeight="1" x14ac:dyDescent="0.25">
      <c r="A12" s="25">
        <v>2012</v>
      </c>
      <c r="B12" s="26" t="s">
        <v>69</v>
      </c>
      <c r="C12" s="30" t="s">
        <v>26</v>
      </c>
      <c r="D12" s="32"/>
      <c r="E12" s="32"/>
      <c r="F12" s="32"/>
      <c r="G12" s="32"/>
      <c r="H12" s="32"/>
      <c r="I12" s="32"/>
      <c r="J12" s="32"/>
      <c r="K12" s="64"/>
      <c r="L12" s="64"/>
      <c r="M12" s="64"/>
      <c r="N12" s="64"/>
      <c r="O12" s="64"/>
      <c r="P12" s="32">
        <v>1965</v>
      </c>
      <c r="Q12" s="34"/>
      <c r="R12" s="35">
        <f>O12/$O$11</f>
        <v>0</v>
      </c>
      <c r="S12" s="35"/>
      <c r="T12" s="36"/>
    </row>
    <row r="13" spans="1:26" ht="12" customHeight="1" x14ac:dyDescent="0.25">
      <c r="A13" s="25">
        <v>2012</v>
      </c>
      <c r="B13" s="40" t="s">
        <v>29</v>
      </c>
      <c r="C13" s="30" t="s">
        <v>66</v>
      </c>
      <c r="D13" s="32">
        <v>744</v>
      </c>
      <c r="E13" s="32">
        <v>830</v>
      </c>
      <c r="F13" s="32">
        <v>581</v>
      </c>
      <c r="G13" s="32">
        <v>422</v>
      </c>
      <c r="H13" s="32">
        <v>121</v>
      </c>
      <c r="I13" s="32">
        <v>15</v>
      </c>
      <c r="J13" s="32">
        <v>0</v>
      </c>
      <c r="K13" s="32">
        <v>37</v>
      </c>
      <c r="L13" s="32">
        <v>154</v>
      </c>
      <c r="M13" s="32">
        <v>385</v>
      </c>
      <c r="N13" s="32">
        <v>463</v>
      </c>
      <c r="O13" s="32">
        <v>836</v>
      </c>
      <c r="P13" s="32">
        <f>SUM(D13:O13)</f>
        <v>4588</v>
      </c>
      <c r="Q13" s="42"/>
      <c r="R13" s="42">
        <f>(P13-'2010'!P13)/'2010'!P13</f>
        <v>-8.9682539682539683E-2</v>
      </c>
      <c r="S13" s="35"/>
      <c r="T13" s="36"/>
      <c r="V13" s="35"/>
    </row>
    <row r="14" spans="1:26" ht="12" customHeight="1" x14ac:dyDescent="0.25">
      <c r="A14" s="25">
        <v>2012</v>
      </c>
      <c r="B14" s="40" t="s">
        <v>31</v>
      </c>
      <c r="C14" s="30" t="s">
        <v>66</v>
      </c>
      <c r="D14" s="32">
        <v>771</v>
      </c>
      <c r="E14" s="32">
        <v>702</v>
      </c>
      <c r="F14" s="32">
        <v>624</v>
      </c>
      <c r="G14" s="32">
        <v>425</v>
      </c>
      <c r="H14" s="32">
        <v>177</v>
      </c>
      <c r="I14" s="32">
        <v>26</v>
      </c>
      <c r="J14" s="32">
        <v>6</v>
      </c>
      <c r="K14" s="32">
        <v>34</v>
      </c>
      <c r="L14" s="32">
        <v>204</v>
      </c>
      <c r="M14" s="32">
        <v>404</v>
      </c>
      <c r="N14" s="32">
        <v>548</v>
      </c>
      <c r="O14" s="32">
        <v>691</v>
      </c>
      <c r="P14" s="32">
        <f>SUM(D14:O14)</f>
        <v>4612</v>
      </c>
      <c r="R14" s="42">
        <f>(P13-P14)/P14</f>
        <v>-5.2038161318300087E-3</v>
      </c>
      <c r="T14" s="42"/>
      <c r="U14" s="35"/>
      <c r="V14" s="34"/>
    </row>
    <row r="15" spans="1:26" ht="12" customHeight="1" x14ac:dyDescent="0.25">
      <c r="A15" s="25">
        <v>2012</v>
      </c>
      <c r="B15" s="26" t="s">
        <v>32</v>
      </c>
      <c r="C15" s="30" t="s">
        <v>26</v>
      </c>
      <c r="D15" s="32">
        <f t="shared" ref="D15:O15" si="1">$K$3*D7</f>
        <v>505.43478260869568</v>
      </c>
      <c r="E15" s="32">
        <f t="shared" si="1"/>
        <v>456.52173913043481</v>
      </c>
      <c r="F15" s="32">
        <f t="shared" si="1"/>
        <v>505.43478260869568</v>
      </c>
      <c r="G15" s="32">
        <f t="shared" si="1"/>
        <v>489.13043478260869</v>
      </c>
      <c r="H15" s="32">
        <f t="shared" si="1"/>
        <v>505.43478260869568</v>
      </c>
      <c r="I15" s="32">
        <f t="shared" si="1"/>
        <v>489.13043478260869</v>
      </c>
      <c r="J15" s="32">
        <f t="shared" si="1"/>
        <v>505.43478260869568</v>
      </c>
      <c r="K15" s="32">
        <f t="shared" si="1"/>
        <v>505.43478260869568</v>
      </c>
      <c r="L15" s="32">
        <f t="shared" si="1"/>
        <v>489.13043478260869</v>
      </c>
      <c r="M15" s="32">
        <f t="shared" si="1"/>
        <v>505.43478260869568</v>
      </c>
      <c r="N15" s="32">
        <f t="shared" si="1"/>
        <v>489.13043478260869</v>
      </c>
      <c r="O15" s="32">
        <f t="shared" si="1"/>
        <v>505.43478260869568</v>
      </c>
      <c r="P15" s="32">
        <f>SUM(D15:O15)</f>
        <v>5951.0869565217399</v>
      </c>
    </row>
    <row r="16" spans="1:26" ht="12" customHeight="1" x14ac:dyDescent="0.25">
      <c r="A16" s="25">
        <v>2012</v>
      </c>
      <c r="B16" s="26" t="s">
        <v>33</v>
      </c>
      <c r="C16" s="30" t="s">
        <v>26</v>
      </c>
      <c r="D16" s="32">
        <f>D11-D15</f>
        <v>930.56521739130426</v>
      </c>
      <c r="E16" s="32">
        <f>E11-E15</f>
        <v>1243.4782608695652</v>
      </c>
      <c r="F16" s="32">
        <f>F11-F15</f>
        <v>582.56521739130426</v>
      </c>
      <c r="G16" s="32">
        <f>G11-G15</f>
        <v>291.86956521739131</v>
      </c>
      <c r="H16" s="32">
        <f>H11-H15</f>
        <v>49.565217391304316</v>
      </c>
      <c r="I16" s="32">
        <v>20</v>
      </c>
      <c r="J16" s="32">
        <v>0</v>
      </c>
      <c r="K16" s="32">
        <v>60</v>
      </c>
      <c r="L16" s="32">
        <f>L11-L15</f>
        <v>49.869565217391312</v>
      </c>
      <c r="M16" s="32">
        <f>M11-M15</f>
        <v>258.56521739130432</v>
      </c>
      <c r="N16" s="32">
        <f>N11-N15</f>
        <v>435.86956521739131</v>
      </c>
      <c r="O16" s="32">
        <f>O11-O15</f>
        <v>1434.5652173913043</v>
      </c>
      <c r="P16" s="32">
        <f>SUM(D16:O16)</f>
        <v>5356.9130434782619</v>
      </c>
      <c r="R16" s="35"/>
      <c r="T16" s="36"/>
    </row>
    <row r="17" spans="1:26" ht="12" customHeight="1" x14ac:dyDescent="0.25">
      <c r="A17" s="25">
        <v>2012</v>
      </c>
      <c r="B17" s="26" t="s">
        <v>34</v>
      </c>
      <c r="C17" s="30" t="s">
        <v>26</v>
      </c>
      <c r="D17" s="32">
        <f>IF(D16&lt;0,0,((D14/D13))*D16)</f>
        <v>964.33572931276296</v>
      </c>
      <c r="E17" s="32">
        <f>IF(E16&lt;0,0,((E14/E13))*E16)</f>
        <v>1051.7129387113673</v>
      </c>
      <c r="F17" s="32">
        <f>IF(F16&lt;0,0,((F14/F13))*F16)</f>
        <v>625.68105964229585</v>
      </c>
      <c r="G17" s="32">
        <f>IF(G16&lt;0,0,((G14/G13))*G16)</f>
        <v>293.94446733978981</v>
      </c>
      <c r="H17" s="32">
        <f>IF(H16&lt;0,0,((H14/H13))*H16)</f>
        <v>72.504491555874907</v>
      </c>
      <c r="I17" s="32">
        <f>I16</f>
        <v>20</v>
      </c>
      <c r="J17" s="32">
        <v>0</v>
      </c>
      <c r="K17" s="32">
        <v>60</v>
      </c>
      <c r="L17" s="32">
        <f>IF(L16&lt;0,0,((L14/L13))*L16)</f>
        <v>66.060982495765117</v>
      </c>
      <c r="M17" s="32">
        <f>IF(M16&lt;0,0,((M14/M13))*M16)</f>
        <v>271.32557876905696</v>
      </c>
      <c r="N17" s="32">
        <f>IF(N16&lt;0,0,((N14/N13))*N16)</f>
        <v>515.88881585125364</v>
      </c>
      <c r="O17" s="32">
        <f>IF(O16&lt;0,0,((O14/O13))*O16)</f>
        <v>1185.7470875806114</v>
      </c>
      <c r="P17" s="33">
        <f>SUM(D17:O17)</f>
        <v>5127.2011512587778</v>
      </c>
      <c r="Q17" s="44"/>
      <c r="R17" s="42">
        <f>(P17-'2010'!P17)/'2010'!P17</f>
        <v>-0.20472781027972006</v>
      </c>
      <c r="T17" s="42"/>
      <c r="U17" s="35"/>
    </row>
    <row r="18" spans="1:26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6" ht="12" customHeight="1" x14ac:dyDescent="0.25">
      <c r="D19" s="4"/>
      <c r="E19" s="65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7"/>
    </row>
    <row r="20" spans="1:26" ht="12" customHeight="1" x14ac:dyDescent="0.25">
      <c r="A20" s="9" t="s">
        <v>35</v>
      </c>
      <c r="B20" s="10"/>
      <c r="C20" s="9" t="s">
        <v>5</v>
      </c>
      <c r="D20" s="4">
        <f t="shared" ref="D20:O20" si="2">D11/D7</f>
        <v>46.322580645161288</v>
      </c>
      <c r="E20" s="4">
        <f t="shared" si="2"/>
        <v>60.714285714285715</v>
      </c>
      <c r="F20" s="4">
        <f t="shared" si="2"/>
        <v>35.096774193548384</v>
      </c>
      <c r="G20" s="4">
        <f t="shared" si="2"/>
        <v>26.033333333333335</v>
      </c>
      <c r="H20" s="4">
        <f t="shared" si="2"/>
        <v>17.903225806451612</v>
      </c>
      <c r="I20" s="4">
        <f t="shared" si="2"/>
        <v>12.9</v>
      </c>
      <c r="J20" s="4">
        <f t="shared" si="2"/>
        <v>12.03225806451613</v>
      </c>
      <c r="K20" s="4">
        <f t="shared" si="2"/>
        <v>14.96774193548387</v>
      </c>
      <c r="L20" s="4">
        <f t="shared" si="2"/>
        <v>17.966666666666665</v>
      </c>
      <c r="M20" s="4">
        <f t="shared" si="2"/>
        <v>24.64516129032258</v>
      </c>
      <c r="N20" s="4">
        <f t="shared" si="2"/>
        <v>30.833333333333332</v>
      </c>
      <c r="O20" s="4">
        <f t="shared" si="2"/>
        <v>62.58064516129032</v>
      </c>
      <c r="P20" s="4">
        <f>P10/365</f>
        <v>13.550684931506849</v>
      </c>
    </row>
    <row r="21" spans="1:26" ht="12" customHeight="1" x14ac:dyDescent="0.3">
      <c r="A21" s="10"/>
      <c r="B21" s="47" t="s">
        <v>36</v>
      </c>
      <c r="C21" s="11" t="s">
        <v>26</v>
      </c>
      <c r="D21" s="4">
        <f>SUM(D11)</f>
        <v>1436</v>
      </c>
      <c r="E21" s="4">
        <f>SUM($D$11:E11)</f>
        <v>3136</v>
      </c>
      <c r="F21" s="4">
        <f>SUM($D$11:F11)</f>
        <v>4224</v>
      </c>
      <c r="G21" s="4">
        <f>SUM($D$11:G11)</f>
        <v>5005</v>
      </c>
      <c r="H21" s="4">
        <f>SUM($D$11:H11)</f>
        <v>5560</v>
      </c>
      <c r="I21" s="4">
        <f>SUM($D$11:I11)</f>
        <v>5947</v>
      </c>
      <c r="J21" s="4">
        <f>SUM($D$11:J11)</f>
        <v>6320</v>
      </c>
      <c r="K21" s="4">
        <f>SUM($D$11:K11)</f>
        <v>6784</v>
      </c>
      <c r="L21" s="4">
        <f>SUM($D$11:L11)</f>
        <v>7323</v>
      </c>
      <c r="M21" s="4">
        <f>SUM($D$11:M11)</f>
        <v>8087</v>
      </c>
      <c r="N21" s="4">
        <f>SUM($D$11:N11)</f>
        <v>9012</v>
      </c>
      <c r="O21" s="4">
        <f>SUM($D$11:O11)</f>
        <v>10952</v>
      </c>
      <c r="P21" s="4"/>
    </row>
    <row r="22" spans="1:26" ht="12" customHeight="1" x14ac:dyDescent="0.3">
      <c r="A22" s="10"/>
      <c r="B22" s="47" t="s">
        <v>37</v>
      </c>
      <c r="C22" s="11" t="s">
        <v>26</v>
      </c>
      <c r="D22" s="4">
        <f>SUM(D12)</f>
        <v>0</v>
      </c>
      <c r="E22" s="4">
        <f>SUM($D$12:E12)</f>
        <v>0</v>
      </c>
      <c r="F22" s="4">
        <f>SUM($D$12:F12)</f>
        <v>0</v>
      </c>
      <c r="G22" s="4">
        <f>SUM($D$12:G12)</f>
        <v>0</v>
      </c>
      <c r="H22" s="4">
        <f>SUM($D$12:H12)</f>
        <v>0</v>
      </c>
      <c r="I22" s="4">
        <f>SUM($D$12:I12)</f>
        <v>0</v>
      </c>
      <c r="J22" s="4">
        <f>SUM($D$12:J12)</f>
        <v>0</v>
      </c>
      <c r="K22" s="4">
        <f>SUM($D$12:K12)</f>
        <v>0</v>
      </c>
      <c r="L22" s="4">
        <f>SUM($D$12:L12)</f>
        <v>0</v>
      </c>
      <c r="M22" s="4">
        <f>SUM($D$12:M12)</f>
        <v>0</v>
      </c>
      <c r="N22" s="4">
        <f>SUM($D$12:N12)</f>
        <v>0</v>
      </c>
      <c r="O22" s="4">
        <f>SUM($D$12:O12)</f>
        <v>0</v>
      </c>
      <c r="P22" s="4"/>
      <c r="R22" s="36"/>
    </row>
    <row r="23" spans="1:26" ht="12" customHeight="1" x14ac:dyDescent="0.3">
      <c r="A23" s="10"/>
      <c r="B23" s="47" t="s">
        <v>38</v>
      </c>
      <c r="C23" s="11" t="s">
        <v>26</v>
      </c>
      <c r="D23" s="4">
        <f>SUM(D16)</f>
        <v>930.56521739130426</v>
      </c>
      <c r="E23" s="4">
        <f>SUM($D$16:E16)</f>
        <v>2174.0434782608695</v>
      </c>
      <c r="F23" s="4">
        <f>SUM($D$16:F16)</f>
        <v>2756.608695652174</v>
      </c>
      <c r="G23" s="4">
        <f>SUM($D$16:G16)</f>
        <v>3048.4782608695655</v>
      </c>
      <c r="H23" s="4">
        <f>SUM($D$16:H16)</f>
        <v>3098.04347826087</v>
      </c>
      <c r="I23" s="4">
        <f>SUM($D$16:I16)</f>
        <v>3118.04347826087</v>
      </c>
      <c r="J23" s="4">
        <f>SUM($D$16:J16)</f>
        <v>3118.04347826087</v>
      </c>
      <c r="K23" s="4">
        <f>SUM($D$16:K16)</f>
        <v>3178.04347826087</v>
      </c>
      <c r="L23" s="4">
        <f>SUM($D$16:L16)</f>
        <v>3227.9130434782614</v>
      </c>
      <c r="M23" s="4">
        <f>SUM($D$16:M16)</f>
        <v>3486.4782608695659</v>
      </c>
      <c r="N23" s="4">
        <f>SUM($D$16:N16)</f>
        <v>3922.3478260869574</v>
      </c>
      <c r="O23" s="4">
        <f>SUM($D$16:O16)</f>
        <v>5356.9130434782619</v>
      </c>
      <c r="P23" s="4"/>
    </row>
    <row r="24" spans="1:26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/>
    </row>
    <row r="25" spans="1:26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14"/>
      <c r="U25" s="34"/>
      <c r="V25" s="34"/>
    </row>
    <row r="26" spans="1:26" ht="12" customHeight="1" x14ac:dyDescent="0.25">
      <c r="A26" s="9"/>
      <c r="B26" s="9" t="s">
        <v>40</v>
      </c>
      <c r="C26" s="9"/>
      <c r="D26" s="51">
        <f t="shared" ref="D26:P26" si="3">D16/D11</f>
        <v>0.6480259174034152</v>
      </c>
      <c r="E26" s="51">
        <f t="shared" si="3"/>
        <v>0.73145780051150899</v>
      </c>
      <c r="F26" s="51">
        <f t="shared" si="3"/>
        <v>0.5354459718670076</v>
      </c>
      <c r="G26" s="51">
        <f t="shared" si="3"/>
        <v>0.37371263152034739</v>
      </c>
      <c r="H26" s="51">
        <f t="shared" si="3"/>
        <v>8.9306698002350124E-2</v>
      </c>
      <c r="I26" s="51">
        <f t="shared" si="3"/>
        <v>5.1679586563307491E-2</v>
      </c>
      <c r="J26" s="51">
        <f t="shared" si="3"/>
        <v>0</v>
      </c>
      <c r="K26" s="51">
        <f t="shared" si="3"/>
        <v>0.12931034482758622</v>
      </c>
      <c r="L26" s="51">
        <f t="shared" si="3"/>
        <v>9.2522384447850298E-2</v>
      </c>
      <c r="M26" s="51">
        <f t="shared" si="3"/>
        <v>0.33843614841793757</v>
      </c>
      <c r="N26" s="51">
        <f t="shared" si="3"/>
        <v>0.47121034077555818</v>
      </c>
      <c r="O26" s="51">
        <f t="shared" si="3"/>
        <v>0.73946660690273414</v>
      </c>
      <c r="P26" s="51">
        <f t="shared" si="3"/>
        <v>0.48912646489027228</v>
      </c>
      <c r="Q26" s="34"/>
      <c r="R26" s="34"/>
      <c r="S26" s="34"/>
      <c r="T26" s="34"/>
      <c r="U26" s="34"/>
      <c r="V26" s="34"/>
      <c r="W26" s="9"/>
      <c r="X26" s="9"/>
      <c r="Y26" s="9"/>
      <c r="Z26" s="9"/>
    </row>
    <row r="27" spans="1:26" ht="12" customHeight="1" x14ac:dyDescent="0.3">
      <c r="B27" s="47" t="s">
        <v>41</v>
      </c>
      <c r="C27" s="9" t="s">
        <v>42</v>
      </c>
      <c r="D27" s="4">
        <f t="shared" ref="D27:P27" si="4">D16/D13</f>
        <v>1.2507597007947637</v>
      </c>
      <c r="E27" s="4">
        <f t="shared" si="4"/>
        <v>1.498166579360922</v>
      </c>
      <c r="F27" s="4">
        <f t="shared" si="4"/>
        <v>1.0026940058370124</v>
      </c>
      <c r="G27" s="4">
        <f t="shared" si="4"/>
        <v>0.69163404079950552</v>
      </c>
      <c r="H27" s="4">
        <f t="shared" si="4"/>
        <v>0.40962989579590342</v>
      </c>
      <c r="I27" s="4">
        <f t="shared" si="4"/>
        <v>1.3333333333333333</v>
      </c>
      <c r="J27" s="4" t="e">
        <f t="shared" si="4"/>
        <v>#DIV/0!</v>
      </c>
      <c r="K27" s="4">
        <f t="shared" si="4"/>
        <v>1.6216216216216217</v>
      </c>
      <c r="L27" s="4">
        <f t="shared" si="4"/>
        <v>0.32382834556747603</v>
      </c>
      <c r="M27" s="4">
        <f t="shared" si="4"/>
        <v>0.67159796725014109</v>
      </c>
      <c r="N27" s="4">
        <f t="shared" si="4"/>
        <v>0.94140294863367457</v>
      </c>
      <c r="O27" s="4">
        <f t="shared" si="4"/>
        <v>1.7159871021427084</v>
      </c>
      <c r="P27" s="4">
        <f t="shared" si="4"/>
        <v>1.1675922065122628</v>
      </c>
      <c r="U27" s="34"/>
    </row>
    <row r="28" spans="1:26" ht="12" customHeight="1" x14ac:dyDescent="0.3">
      <c r="B28" s="47" t="s">
        <v>41</v>
      </c>
      <c r="C28" s="11" t="s">
        <v>5</v>
      </c>
      <c r="D28" s="4">
        <f t="shared" ref="D28:P28" si="5">D16/D7</f>
        <v>30.018232819074331</v>
      </c>
      <c r="E28" s="4">
        <f t="shared" si="5"/>
        <v>44.409937888198762</v>
      </c>
      <c r="F28" s="4">
        <f t="shared" si="5"/>
        <v>18.792426367461427</v>
      </c>
      <c r="G28" s="4">
        <f t="shared" si="5"/>
        <v>9.7289855072463762</v>
      </c>
      <c r="H28" s="4">
        <f t="shared" si="5"/>
        <v>1.5988779803646553</v>
      </c>
      <c r="I28" s="4">
        <f t="shared" si="5"/>
        <v>0.66666666666666663</v>
      </c>
      <c r="J28" s="4">
        <f t="shared" si="5"/>
        <v>0</v>
      </c>
      <c r="K28" s="4">
        <f t="shared" si="5"/>
        <v>1.935483870967742</v>
      </c>
      <c r="L28" s="4">
        <f t="shared" si="5"/>
        <v>1.6623188405797105</v>
      </c>
      <c r="M28" s="4">
        <f t="shared" si="5"/>
        <v>8.3408134642356231</v>
      </c>
      <c r="N28" s="4">
        <f t="shared" si="5"/>
        <v>14.528985507246377</v>
      </c>
      <c r="O28" s="4">
        <f t="shared" si="5"/>
        <v>46.27629733520336</v>
      </c>
      <c r="P28" s="4">
        <f t="shared" si="5"/>
        <v>14.676474091721266</v>
      </c>
      <c r="U28" s="34"/>
    </row>
    <row r="29" spans="1:26" ht="12" customHeight="1" x14ac:dyDescent="0.3">
      <c r="B29" s="47" t="s">
        <v>43</v>
      </c>
      <c r="C29" s="11" t="s">
        <v>5</v>
      </c>
      <c r="D29" s="4">
        <f t="shared" ref="D29:P29" si="6">D17/D7</f>
        <v>31.10760417137945</v>
      </c>
      <c r="E29" s="4">
        <f t="shared" si="6"/>
        <v>37.56117638254883</v>
      </c>
      <c r="F29" s="4">
        <f t="shared" si="6"/>
        <v>20.183259988461156</v>
      </c>
      <c r="G29" s="4">
        <f t="shared" si="6"/>
        <v>9.7981489113263276</v>
      </c>
      <c r="H29" s="4">
        <f t="shared" si="6"/>
        <v>2.3388545663185454</v>
      </c>
      <c r="I29" s="4">
        <f t="shared" si="6"/>
        <v>0.66666666666666663</v>
      </c>
      <c r="J29" s="4">
        <f t="shared" si="6"/>
        <v>0</v>
      </c>
      <c r="K29" s="4">
        <f t="shared" si="6"/>
        <v>1.935483870967742</v>
      </c>
      <c r="L29" s="4">
        <f t="shared" si="6"/>
        <v>2.2020327498588372</v>
      </c>
      <c r="M29" s="4">
        <f t="shared" si="6"/>
        <v>8.7524380248082885</v>
      </c>
      <c r="N29" s="4">
        <f t="shared" si="6"/>
        <v>17.196293861708455</v>
      </c>
      <c r="O29" s="4">
        <f t="shared" si="6"/>
        <v>38.249906050987462</v>
      </c>
      <c r="P29" s="4">
        <f t="shared" si="6"/>
        <v>14.04712644180487</v>
      </c>
      <c r="U29" s="34"/>
    </row>
    <row r="30" spans="1:26" ht="12" customHeight="1" x14ac:dyDescent="0.3">
      <c r="B30" s="47" t="s">
        <v>44</v>
      </c>
      <c r="C30" s="47" t="s">
        <v>45</v>
      </c>
      <c r="D30" s="4">
        <f t="shared" ref="D30:P30" si="7">D16/$F$4</f>
        <v>3.3570173787565092</v>
      </c>
      <c r="E30" s="4">
        <f t="shared" si="7"/>
        <v>4.4858523119392686</v>
      </c>
      <c r="F30" s="4">
        <f t="shared" si="7"/>
        <v>2.1016061233452534</v>
      </c>
      <c r="G30" s="4">
        <f t="shared" si="7"/>
        <v>1.0529205094422487</v>
      </c>
      <c r="H30" s="4">
        <f t="shared" si="7"/>
        <v>0.17880670054583087</v>
      </c>
      <c r="I30" s="4">
        <f t="shared" si="7"/>
        <v>7.2150072150072159E-2</v>
      </c>
      <c r="J30" s="4">
        <f t="shared" si="7"/>
        <v>0</v>
      </c>
      <c r="K30" s="4">
        <f t="shared" si="7"/>
        <v>0.21645021645021645</v>
      </c>
      <c r="L30" s="4">
        <f t="shared" si="7"/>
        <v>0.17990463642637558</v>
      </c>
      <c r="M30" s="4">
        <f t="shared" si="7"/>
        <v>0.93277495451408488</v>
      </c>
      <c r="N30" s="4">
        <f t="shared" si="7"/>
        <v>1.5724010289227681</v>
      </c>
      <c r="O30" s="4">
        <f t="shared" si="7"/>
        <v>5.1751991969383271</v>
      </c>
      <c r="P30" s="4">
        <f t="shared" si="7"/>
        <v>19.325083129430961</v>
      </c>
      <c r="U30" s="34"/>
    </row>
    <row r="31" spans="1:26" ht="12" customHeight="1" x14ac:dyDescent="0.3">
      <c r="B31" s="47" t="s">
        <v>44</v>
      </c>
      <c r="C31" s="47" t="s">
        <v>46</v>
      </c>
      <c r="D31" s="4">
        <f t="shared" ref="D31:P31" si="8">D16/$F$3</f>
        <v>8.4596837944664021</v>
      </c>
      <c r="E31" s="4">
        <f t="shared" si="8"/>
        <v>11.304347826086957</v>
      </c>
      <c r="F31" s="4">
        <f t="shared" si="8"/>
        <v>5.2960474308300389</v>
      </c>
      <c r="G31" s="4">
        <f t="shared" si="8"/>
        <v>2.6533596837944664</v>
      </c>
      <c r="H31" s="4">
        <f t="shared" si="8"/>
        <v>0.4505928853754938</v>
      </c>
      <c r="I31" s="4">
        <f t="shared" si="8"/>
        <v>0.18181818181818182</v>
      </c>
      <c r="J31" s="4">
        <f t="shared" si="8"/>
        <v>0</v>
      </c>
      <c r="K31" s="4">
        <f t="shared" si="8"/>
        <v>0.54545454545454541</v>
      </c>
      <c r="L31" s="4">
        <f t="shared" si="8"/>
        <v>0.45335968379446645</v>
      </c>
      <c r="M31" s="4">
        <f t="shared" si="8"/>
        <v>2.3505928853754936</v>
      </c>
      <c r="N31" s="4">
        <f t="shared" si="8"/>
        <v>3.9624505928853755</v>
      </c>
      <c r="O31" s="4">
        <f t="shared" si="8"/>
        <v>13.041501976284584</v>
      </c>
      <c r="P31" s="4">
        <f t="shared" si="8"/>
        <v>48.699209486166019</v>
      </c>
      <c r="U31" s="34"/>
    </row>
    <row r="32" spans="1:26" ht="12" customHeight="1" x14ac:dyDescent="0.3">
      <c r="B32" s="47" t="s">
        <v>47</v>
      </c>
      <c r="C32" s="47" t="s">
        <v>45</v>
      </c>
      <c r="D32" s="4">
        <f t="shared" ref="D32:P32" si="9">D17/$F$4</f>
        <v>3.4788446223404148</v>
      </c>
      <c r="E32" s="4">
        <f t="shared" si="9"/>
        <v>3.7940582204594784</v>
      </c>
      <c r="F32" s="4">
        <f t="shared" si="9"/>
        <v>2.257146679806262</v>
      </c>
      <c r="G32" s="4">
        <f t="shared" si="9"/>
        <v>1.0604057263340181</v>
      </c>
      <c r="H32" s="4">
        <f t="shared" si="9"/>
        <v>0.2615602148480336</v>
      </c>
      <c r="I32" s="4">
        <f t="shared" si="9"/>
        <v>7.2150072150072159E-2</v>
      </c>
      <c r="J32" s="4">
        <f t="shared" si="9"/>
        <v>0</v>
      </c>
      <c r="K32" s="4">
        <f t="shared" si="9"/>
        <v>0.21645021645021645</v>
      </c>
      <c r="L32" s="4">
        <f t="shared" si="9"/>
        <v>0.23831523266870533</v>
      </c>
      <c r="M32" s="4">
        <f t="shared" si="9"/>
        <v>0.97880800421737724</v>
      </c>
      <c r="N32" s="4">
        <f t="shared" si="9"/>
        <v>1.8610707642541617</v>
      </c>
      <c r="O32" s="4">
        <f t="shared" si="9"/>
        <v>4.2775868960339514</v>
      </c>
      <c r="P32" s="4">
        <f t="shared" si="9"/>
        <v>18.496396649562691</v>
      </c>
    </row>
    <row r="33" spans="1:16" ht="12" customHeight="1" x14ac:dyDescent="0.3">
      <c r="B33" s="47" t="s">
        <v>47</v>
      </c>
      <c r="C33" s="47" t="s">
        <v>46</v>
      </c>
      <c r="D33" s="4">
        <f t="shared" ref="D33:P33" si="10">D17/$F$3</f>
        <v>8.7666884482978453</v>
      </c>
      <c r="E33" s="4">
        <f t="shared" si="10"/>
        <v>9.561026715557885</v>
      </c>
      <c r="F33" s="4">
        <f t="shared" si="10"/>
        <v>5.6880096331117809</v>
      </c>
      <c r="G33" s="4">
        <f t="shared" si="10"/>
        <v>2.6722224303617255</v>
      </c>
      <c r="H33" s="4">
        <f t="shared" si="10"/>
        <v>0.65913174141704456</v>
      </c>
      <c r="I33" s="4">
        <f t="shared" si="10"/>
        <v>0.18181818181818182</v>
      </c>
      <c r="J33" s="4">
        <f t="shared" si="10"/>
        <v>0</v>
      </c>
      <c r="K33" s="4">
        <f t="shared" si="10"/>
        <v>0.54545454545454541</v>
      </c>
      <c r="L33" s="4">
        <f t="shared" si="10"/>
        <v>0.60055438632513747</v>
      </c>
      <c r="M33" s="4">
        <f t="shared" si="10"/>
        <v>2.4665961706277906</v>
      </c>
      <c r="N33" s="4">
        <f t="shared" si="10"/>
        <v>4.6898983259204874</v>
      </c>
      <c r="O33" s="4">
        <f t="shared" si="10"/>
        <v>10.779518978005559</v>
      </c>
      <c r="P33" s="4">
        <f t="shared" si="10"/>
        <v>46.610919556897983</v>
      </c>
    </row>
    <row r="34" spans="1:16" ht="12" customHeight="1" x14ac:dyDescent="0.3">
      <c r="B34" s="47" t="s">
        <v>44</v>
      </c>
      <c r="C34" s="47" t="s">
        <v>48</v>
      </c>
      <c r="D34" s="4">
        <f t="shared" ref="D34:P34" si="11">1000*D30/D13</f>
        <v>4.5121201327372438</v>
      </c>
      <c r="E34" s="4">
        <f t="shared" si="11"/>
        <v>5.4046413396858659</v>
      </c>
      <c r="F34" s="4">
        <f t="shared" si="11"/>
        <v>3.6172222432792656</v>
      </c>
      <c r="G34" s="4">
        <f t="shared" si="11"/>
        <v>2.4950722972565136</v>
      </c>
      <c r="H34" s="4">
        <f t="shared" si="11"/>
        <v>1.4777413268250486</v>
      </c>
      <c r="I34" s="4">
        <f t="shared" si="11"/>
        <v>4.8100048100048109</v>
      </c>
      <c r="J34" s="4" t="e">
        <f t="shared" si="11"/>
        <v>#DIV/0!</v>
      </c>
      <c r="K34" s="4">
        <f t="shared" si="11"/>
        <v>5.85000585000585</v>
      </c>
      <c r="L34" s="4">
        <f t="shared" si="11"/>
        <v>1.1682119248465948</v>
      </c>
      <c r="M34" s="4">
        <f t="shared" si="11"/>
        <v>2.4227920896469737</v>
      </c>
      <c r="N34" s="4">
        <f t="shared" si="11"/>
        <v>3.3961145333105143</v>
      </c>
      <c r="O34" s="4">
        <f t="shared" si="11"/>
        <v>6.1904296614094818</v>
      </c>
      <c r="P34" s="4">
        <f t="shared" si="11"/>
        <v>4.2120930970860853</v>
      </c>
    </row>
    <row r="35" spans="1:16" ht="12" customHeight="1" x14ac:dyDescent="0.25">
      <c r="D35" s="36"/>
      <c r="E35" s="36"/>
      <c r="F35" s="36"/>
      <c r="G35" s="36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2" customHeight="1" x14ac:dyDescent="0.3">
      <c r="B38" s="47" t="s">
        <v>50</v>
      </c>
      <c r="D38" s="13">
        <f>4400*1.3</f>
        <v>5720</v>
      </c>
      <c r="E38" s="11" t="s">
        <v>26</v>
      </c>
      <c r="F38" s="51">
        <f>D38/$D$40</f>
        <v>0.49010002421442805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</row>
    <row r="39" spans="1:16" ht="12" customHeight="1" x14ac:dyDescent="0.25">
      <c r="B39" s="53" t="s">
        <v>53</v>
      </c>
      <c r="C39" s="53"/>
      <c r="D39" s="54">
        <f>K3*365</f>
        <v>5951.086956521739</v>
      </c>
      <c r="E39" s="55" t="s">
        <v>26</v>
      </c>
      <c r="F39" s="51">
        <f>D39/$D$40</f>
        <v>0.50989997578557189</v>
      </c>
      <c r="G39" s="11" t="s">
        <v>54</v>
      </c>
      <c r="H39" s="4"/>
      <c r="I39" s="4"/>
      <c r="J39" s="4"/>
      <c r="K39" s="4">
        <f>K38-D38</f>
        <v>2846</v>
      </c>
      <c r="L39" s="11" t="s">
        <v>26</v>
      </c>
      <c r="M39" s="4"/>
      <c r="N39" s="13">
        <f>'2007'!I36</f>
        <v>14540</v>
      </c>
      <c r="O39" s="11" t="s">
        <v>26</v>
      </c>
      <c r="P39" s="4"/>
    </row>
    <row r="40" spans="1:16" ht="12" customHeight="1" x14ac:dyDescent="0.3">
      <c r="B40" s="47" t="s">
        <v>22</v>
      </c>
      <c r="D40" s="13">
        <f>SUM(D38:D39)</f>
        <v>11671.08695652174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0.33224375437777259</v>
      </c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0.1960448407124438</v>
      </c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68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4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4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4:16" ht="12" customHeight="1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4:16" ht="12" customHeight="1" x14ac:dyDescent="0.2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4:16" ht="12" customHeight="1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4:16" ht="12" customHeight="1" x14ac:dyDescent="0.2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4:16" ht="12" customHeigh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4:16" ht="12" customHeight="1" x14ac:dyDescent="0.2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4:16" ht="12" customHeight="1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4:16" ht="12" customHeight="1" x14ac:dyDescent="0.2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4:16" ht="12" customHeight="1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4:16" ht="12" customHeight="1" x14ac:dyDescent="0.2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4:16" ht="12" customHeight="1" x14ac:dyDescent="0.2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4:16" ht="12" customHeight="1" x14ac:dyDescent="0.2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4:16" ht="12" customHeight="1" x14ac:dyDescent="0.2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4:16" ht="12" customHeight="1" x14ac:dyDescent="0.2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ht="12" customHeight="1" x14ac:dyDescent="0.25">
      <c r="A65" s="48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2" customHeight="1" x14ac:dyDescent="0.25">
      <c r="A66" s="4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2" customHeight="1" x14ac:dyDescent="0.25">
      <c r="A67" s="4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2" customHeight="1" x14ac:dyDescent="0.25">
      <c r="A68" s="4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25">
      <c r="A69" s="5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12" customHeight="1" x14ac:dyDescent="0.25">
      <c r="A70" s="56"/>
      <c r="D70" s="4"/>
      <c r="E70" s="4"/>
      <c r="F70" s="4"/>
      <c r="H70" s="4"/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25">
      <c r="A71" s="5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25">
      <c r="A72" s="4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25">
      <c r="A73" s="4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A74" s="4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A75" s="4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A78" s="5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A80" s="5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4:16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4:16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4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4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4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4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4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4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4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4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4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4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4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4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4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4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>
      <selection activeCell="P11" sqref="P11:P17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6" width="8.6640625" customWidth="1"/>
  </cols>
  <sheetData>
    <row r="1" spans="1:26" ht="12" customHeight="1" x14ac:dyDescent="0.3">
      <c r="A1" s="2" t="s">
        <v>0</v>
      </c>
      <c r="D1" s="3">
        <v>2011</v>
      </c>
      <c r="E1" s="4"/>
      <c r="F1" s="4"/>
      <c r="G1" s="4"/>
      <c r="H1" s="4"/>
      <c r="I1" s="4"/>
      <c r="J1" s="4"/>
      <c r="K1" s="4"/>
      <c r="L1" s="4"/>
      <c r="M1" s="4"/>
      <c r="N1" s="4"/>
      <c r="O1" s="4">
        <v>2012</v>
      </c>
      <c r="P1" s="4"/>
    </row>
    <row r="2" spans="1:26" ht="12" customHeight="1" x14ac:dyDescent="0.3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2">
        <f>(35828-30000)</f>
        <v>5828</v>
      </c>
      <c r="P2" s="4">
        <f>O2/Q3</f>
        <v>0.55027853838164476</v>
      </c>
      <c r="Q2" s="8"/>
      <c r="R2" s="47">
        <v>1.0043365134431901</v>
      </c>
    </row>
    <row r="3" spans="1:26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f>3+K4</f>
        <v>13.2</v>
      </c>
      <c r="L3" s="11" t="s">
        <v>5</v>
      </c>
      <c r="M3" s="4"/>
      <c r="N3" s="4"/>
      <c r="O3" s="32">
        <f>(30623-25860)</f>
        <v>4763</v>
      </c>
      <c r="P3" s="4"/>
      <c r="Q3" s="8">
        <f>SUM(O2:O3)</f>
        <v>10591</v>
      </c>
    </row>
    <row r="4" spans="1:26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v>10.199999999999999</v>
      </c>
      <c r="L4" s="11" t="s">
        <v>5</v>
      </c>
      <c r="M4" s="11"/>
      <c r="N4" s="11"/>
      <c r="O4" s="64">
        <f>(5729-4499.44)+727.36</f>
        <v>1956.9200000000005</v>
      </c>
      <c r="P4" s="11"/>
    </row>
    <row r="5" spans="1:26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>
        <f>K3*365</f>
        <v>4818</v>
      </c>
      <c r="P5" s="4"/>
      <c r="Q5" s="14">
        <f>Q3-O5</f>
        <v>5773</v>
      </c>
      <c r="R5" s="14">
        <f>Q5-O4</f>
        <v>3816.0799999999995</v>
      </c>
    </row>
    <row r="6" spans="1:26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>
        <f>Q5*R2</f>
        <v>5798.0346921075361</v>
      </c>
      <c r="R6" s="10"/>
      <c r="S6" s="10"/>
      <c r="T6" s="10"/>
      <c r="U6" s="10"/>
      <c r="V6" s="10"/>
      <c r="W6" s="10"/>
      <c r="X6" s="10"/>
      <c r="Y6" s="10"/>
      <c r="Z6" s="10"/>
    </row>
    <row r="7" spans="1:26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 x14ac:dyDescent="0.25">
      <c r="A8" s="25">
        <v>2011</v>
      </c>
      <c r="B8" s="26" t="s">
        <v>23</v>
      </c>
      <c r="C8" s="30" t="s">
        <v>65</v>
      </c>
      <c r="D8" s="28">
        <v>-7.7</v>
      </c>
      <c r="E8" s="28">
        <v>-13.7</v>
      </c>
      <c r="F8" s="28">
        <v>-3.1</v>
      </c>
      <c r="G8" s="28">
        <v>4.8</v>
      </c>
      <c r="H8" s="28">
        <v>9.9</v>
      </c>
      <c r="I8" s="28">
        <v>16.3</v>
      </c>
      <c r="J8" s="28">
        <v>20.100000000000001</v>
      </c>
      <c r="K8" s="28">
        <v>15.1</v>
      </c>
      <c r="L8" s="28">
        <v>11.4</v>
      </c>
      <c r="M8" s="28">
        <v>6.1</v>
      </c>
      <c r="N8" s="28">
        <v>2.5</v>
      </c>
      <c r="O8" s="28">
        <v>0.2</v>
      </c>
      <c r="P8" s="28">
        <f>AVERAGE(D8:O8)</f>
        <v>5.1583333333333341</v>
      </c>
    </row>
    <row r="9" spans="1:26" ht="12" customHeight="1" x14ac:dyDescent="0.25">
      <c r="A9" s="25">
        <v>2011</v>
      </c>
      <c r="B9" s="26" t="s">
        <v>67</v>
      </c>
      <c r="C9" s="30" t="s">
        <v>26</v>
      </c>
      <c r="D9" s="32">
        <f>(25463-24621)</f>
        <v>842</v>
      </c>
      <c r="E9" s="32">
        <f>(26349-25463)</f>
        <v>886</v>
      </c>
      <c r="F9" s="32">
        <f>(26970-26349)</f>
        <v>621</v>
      </c>
      <c r="G9" s="32">
        <f>(27305-26970)</f>
        <v>335</v>
      </c>
      <c r="H9" s="32">
        <f>(27600-27305)</f>
        <v>295</v>
      </c>
      <c r="I9" s="32">
        <f>(27765-27600)</f>
        <v>165</v>
      </c>
      <c r="J9" s="32">
        <f>(27960-27765)</f>
        <v>195</v>
      </c>
      <c r="K9" s="32">
        <f>(28174-27960)</f>
        <v>214</v>
      </c>
      <c r="L9" s="32">
        <f>(28475-28174)</f>
        <v>301</v>
      </c>
      <c r="M9" s="32">
        <f>(28891-28475)</f>
        <v>416</v>
      </c>
      <c r="N9" s="32">
        <f>(29460-28891)/38*30</f>
        <v>449.21052631578948</v>
      </c>
      <c r="O9" s="32">
        <f>(30000-29460)/(32-8)*31</f>
        <v>697.5</v>
      </c>
      <c r="P9" s="32">
        <f t="shared" ref="P9:P17" si="0">SUM(D9:O9)</f>
        <v>5416.7105263157891</v>
      </c>
      <c r="Q9" s="34"/>
      <c r="R9" s="35">
        <f>O9/$O$11</f>
        <v>0.6428571428571429</v>
      </c>
      <c r="S9" s="35"/>
      <c r="T9" s="36"/>
    </row>
    <row r="10" spans="1:26" ht="12" customHeight="1" x14ac:dyDescent="0.25">
      <c r="A10" s="25">
        <v>2011</v>
      </c>
      <c r="B10" s="26" t="s">
        <v>68</v>
      </c>
      <c r="C10" s="30" t="s">
        <v>26</v>
      </c>
      <c r="D10" s="32">
        <f>(22290-21596)</f>
        <v>694</v>
      </c>
      <c r="E10" s="32">
        <f>(23009-22290)</f>
        <v>719</v>
      </c>
      <c r="F10" s="32">
        <f>(23600-23009)</f>
        <v>591</v>
      </c>
      <c r="G10" s="32">
        <f>(23933-23600)</f>
        <v>333</v>
      </c>
      <c r="H10" s="32">
        <f>(24190-23933)</f>
        <v>257</v>
      </c>
      <c r="I10" s="32">
        <f>(24320-24190)</f>
        <v>130</v>
      </c>
      <c r="J10" s="32">
        <f>(24500-24320)</f>
        <v>180</v>
      </c>
      <c r="K10" s="32">
        <f>(24675-24500)</f>
        <v>175</v>
      </c>
      <c r="L10" s="32">
        <f>(24871-24675)</f>
        <v>196</v>
      </c>
      <c r="M10" s="32">
        <f>(25119-24871)</f>
        <v>248</v>
      </c>
      <c r="N10" s="32">
        <f>(25560-25119)/38*30</f>
        <v>348.15789473684208</v>
      </c>
      <c r="O10" s="32">
        <f>(25860-25560)/(32-8)*31</f>
        <v>387.5</v>
      </c>
      <c r="P10" s="32">
        <f t="shared" si="0"/>
        <v>4258.6578947368416</v>
      </c>
      <c r="Q10" s="34"/>
      <c r="R10" s="35">
        <f>O10/$O$11</f>
        <v>0.35714285714285715</v>
      </c>
      <c r="S10" s="35"/>
      <c r="T10" s="36"/>
    </row>
    <row r="11" spans="1:26" ht="12" customHeight="1" x14ac:dyDescent="0.25">
      <c r="A11" s="25">
        <v>2011</v>
      </c>
      <c r="B11" s="26" t="s">
        <v>25</v>
      </c>
      <c r="C11" s="30" t="s">
        <v>26</v>
      </c>
      <c r="D11" s="32">
        <f t="shared" ref="D11:O11" si="1">SUM(D9:D10)</f>
        <v>1536</v>
      </c>
      <c r="E11" s="32">
        <f t="shared" si="1"/>
        <v>1605</v>
      </c>
      <c r="F11" s="32">
        <f t="shared" si="1"/>
        <v>1212</v>
      </c>
      <c r="G11" s="32">
        <f t="shared" si="1"/>
        <v>668</v>
      </c>
      <c r="H11" s="32">
        <f t="shared" si="1"/>
        <v>552</v>
      </c>
      <c r="I11" s="32">
        <f t="shared" si="1"/>
        <v>295</v>
      </c>
      <c r="J11" s="32">
        <f t="shared" si="1"/>
        <v>375</v>
      </c>
      <c r="K11" s="32">
        <f t="shared" si="1"/>
        <v>389</v>
      </c>
      <c r="L11" s="32">
        <f t="shared" si="1"/>
        <v>497</v>
      </c>
      <c r="M11" s="32">
        <f t="shared" si="1"/>
        <v>664</v>
      </c>
      <c r="N11" s="32">
        <f t="shared" si="1"/>
        <v>797.36842105263156</v>
      </c>
      <c r="O11" s="32">
        <f t="shared" si="1"/>
        <v>1085</v>
      </c>
      <c r="P11" s="33">
        <f t="shared" si="0"/>
        <v>9675.3684210526317</v>
      </c>
      <c r="Q11" s="34"/>
      <c r="R11" s="35">
        <f>O11/$O$11</f>
        <v>1</v>
      </c>
      <c r="S11" s="35"/>
      <c r="T11" s="36"/>
    </row>
    <row r="12" spans="1:26" ht="12" customHeight="1" x14ac:dyDescent="0.25">
      <c r="A12" s="25">
        <v>2011</v>
      </c>
      <c r="B12" s="26" t="s">
        <v>69</v>
      </c>
      <c r="C12" s="30" t="s">
        <v>26</v>
      </c>
      <c r="D12" s="32">
        <f>(2853-2559.6)</f>
        <v>293.40000000000009</v>
      </c>
      <c r="E12" s="32">
        <f>(2971.09-2853)</f>
        <v>118.09000000000015</v>
      </c>
      <c r="F12" s="32">
        <f>(3328-2971.09)</f>
        <v>356.90999999999985</v>
      </c>
      <c r="G12" s="32">
        <f>(3530-3328)</f>
        <v>202</v>
      </c>
      <c r="H12" s="32">
        <f>(3650-3530)</f>
        <v>120</v>
      </c>
      <c r="I12" s="32">
        <f>(3670-3650)</f>
        <v>20</v>
      </c>
      <c r="J12" s="69">
        <f>(3720-3670)</f>
        <v>50</v>
      </c>
      <c r="K12" s="64">
        <f>(3780-3720)</f>
        <v>60</v>
      </c>
      <c r="L12" s="64">
        <f>(3847.83-3780)</f>
        <v>67.829999999999927</v>
      </c>
      <c r="M12" s="64">
        <f>(3988.29-3847.83)</f>
        <v>140.46000000000004</v>
      </c>
      <c r="N12" s="64">
        <f>(4270-3988.29)/38*30</f>
        <v>222.40263157894739</v>
      </c>
      <c r="O12" s="64">
        <f>(4499.44-4270)/(32-8)*31</f>
        <v>296.35999999999945</v>
      </c>
      <c r="P12" s="32">
        <f t="shared" si="0"/>
        <v>1947.4526315789469</v>
      </c>
      <c r="Q12" s="34"/>
      <c r="R12" s="35">
        <f>O12/$O$11</f>
        <v>0.27314285714285663</v>
      </c>
      <c r="S12" s="35"/>
      <c r="T12" s="36"/>
    </row>
    <row r="13" spans="1:26" ht="12" customHeight="1" x14ac:dyDescent="0.25">
      <c r="A13" s="25">
        <v>2011</v>
      </c>
      <c r="B13" s="40" t="s">
        <v>29</v>
      </c>
      <c r="C13" s="30" t="s">
        <v>66</v>
      </c>
      <c r="D13" s="32">
        <v>760</v>
      </c>
      <c r="E13" s="32">
        <f>29*28</f>
        <v>812</v>
      </c>
      <c r="F13" s="32">
        <v>614</v>
      </c>
      <c r="G13" s="32">
        <v>338</v>
      </c>
      <c r="H13" s="32">
        <v>139</v>
      </c>
      <c r="I13" s="32">
        <v>17</v>
      </c>
      <c r="J13" s="32">
        <v>0</v>
      </c>
      <c r="K13" s="32">
        <v>0</v>
      </c>
      <c r="L13" s="32">
        <v>91</v>
      </c>
      <c r="M13" s="32">
        <v>333</v>
      </c>
      <c r="N13" s="32">
        <v>433</v>
      </c>
      <c r="O13" s="32">
        <v>507</v>
      </c>
      <c r="P13" s="32">
        <f t="shared" si="0"/>
        <v>4044</v>
      </c>
      <c r="Q13" s="42"/>
      <c r="R13" s="42">
        <f>(P13-'2010'!P13)/'2010'!P13</f>
        <v>-0.19761904761904761</v>
      </c>
      <c r="S13" s="35"/>
      <c r="T13" s="36"/>
      <c r="V13" s="70"/>
    </row>
    <row r="14" spans="1:26" ht="12" customHeight="1" x14ac:dyDescent="0.25">
      <c r="A14" s="25">
        <v>2011</v>
      </c>
      <c r="B14" s="40" t="s">
        <v>31</v>
      </c>
      <c r="C14" s="30" t="s">
        <v>66</v>
      </c>
      <c r="D14" s="32">
        <v>771</v>
      </c>
      <c r="E14" s="32">
        <v>702</v>
      </c>
      <c r="F14" s="32">
        <v>624</v>
      </c>
      <c r="G14" s="32">
        <v>425</v>
      </c>
      <c r="H14" s="32">
        <v>177</v>
      </c>
      <c r="I14" s="32">
        <v>26</v>
      </c>
      <c r="J14" s="32">
        <v>6</v>
      </c>
      <c r="K14" s="32">
        <v>34</v>
      </c>
      <c r="L14" s="32">
        <v>204</v>
      </c>
      <c r="M14" s="32">
        <v>404</v>
      </c>
      <c r="N14" s="32">
        <v>548</v>
      </c>
      <c r="O14" s="32">
        <v>691</v>
      </c>
      <c r="P14" s="32">
        <f t="shared" si="0"/>
        <v>4612</v>
      </c>
      <c r="R14" s="42">
        <f>(P13-P14)/P14</f>
        <v>-0.12315698178664354</v>
      </c>
      <c r="T14" s="42"/>
      <c r="U14" s="35"/>
      <c r="V14" s="34"/>
    </row>
    <row r="15" spans="1:26" ht="12" customHeight="1" x14ac:dyDescent="0.25">
      <c r="A15" s="25">
        <v>2011</v>
      </c>
      <c r="B15" s="26" t="s">
        <v>32</v>
      </c>
      <c r="C15" s="30" t="s">
        <v>26</v>
      </c>
      <c r="D15" s="32">
        <f t="shared" ref="D15:O15" si="2">$K$3*D7</f>
        <v>409.2</v>
      </c>
      <c r="E15" s="32">
        <f t="shared" si="2"/>
        <v>369.59999999999997</v>
      </c>
      <c r="F15" s="32">
        <f t="shared" si="2"/>
        <v>409.2</v>
      </c>
      <c r="G15" s="32">
        <f t="shared" si="2"/>
        <v>396</v>
      </c>
      <c r="H15" s="32">
        <f t="shared" si="2"/>
        <v>409.2</v>
      </c>
      <c r="I15" s="32">
        <f t="shared" si="2"/>
        <v>396</v>
      </c>
      <c r="J15" s="32">
        <f t="shared" si="2"/>
        <v>409.2</v>
      </c>
      <c r="K15" s="32">
        <f t="shared" si="2"/>
        <v>409.2</v>
      </c>
      <c r="L15" s="32">
        <f t="shared" si="2"/>
        <v>396</v>
      </c>
      <c r="M15" s="32">
        <f t="shared" si="2"/>
        <v>409.2</v>
      </c>
      <c r="N15" s="32">
        <f t="shared" si="2"/>
        <v>396</v>
      </c>
      <c r="O15" s="32">
        <f t="shared" si="2"/>
        <v>409.2</v>
      </c>
      <c r="P15" s="32">
        <f t="shared" si="0"/>
        <v>4817.9999999999991</v>
      </c>
    </row>
    <row r="16" spans="1:26" ht="12" customHeight="1" x14ac:dyDescent="0.25">
      <c r="A16" s="25">
        <v>2011</v>
      </c>
      <c r="B16" s="26" t="s">
        <v>33</v>
      </c>
      <c r="C16" s="30" t="s">
        <v>26</v>
      </c>
      <c r="D16" s="32">
        <f>D11-D15</f>
        <v>1126.8</v>
      </c>
      <c r="E16" s="32">
        <f>E11-E15</f>
        <v>1235.4000000000001</v>
      </c>
      <c r="F16" s="32">
        <f>F11-F15</f>
        <v>802.8</v>
      </c>
      <c r="G16" s="32">
        <f>G11-G15</f>
        <v>272</v>
      </c>
      <c r="H16" s="32">
        <f>H11-H15</f>
        <v>142.80000000000001</v>
      </c>
      <c r="I16" s="32">
        <v>20</v>
      </c>
      <c r="J16" s="32">
        <v>0</v>
      </c>
      <c r="K16" s="32">
        <v>60</v>
      </c>
      <c r="L16" s="32">
        <f>L11-L15</f>
        <v>101</v>
      </c>
      <c r="M16" s="32">
        <f>M11-M15</f>
        <v>254.8</v>
      </c>
      <c r="N16" s="32">
        <f>N11-N15</f>
        <v>401.36842105263156</v>
      </c>
      <c r="O16" s="32">
        <f>O11-O15</f>
        <v>675.8</v>
      </c>
      <c r="P16" s="32">
        <f t="shared" si="0"/>
        <v>5092.7684210526322</v>
      </c>
      <c r="R16" s="35"/>
      <c r="T16" s="36"/>
    </row>
    <row r="17" spans="1:26" ht="12" customHeight="1" x14ac:dyDescent="0.25">
      <c r="A17" s="25">
        <v>2011</v>
      </c>
      <c r="B17" s="26" t="s">
        <v>34</v>
      </c>
      <c r="C17" s="30" t="s">
        <v>26</v>
      </c>
      <c r="D17" s="32">
        <f>IF(D16&lt;0,0,((D14/D13))*D16)</f>
        <v>1143.108947368421</v>
      </c>
      <c r="E17" s="32">
        <f>IF(E16&lt;0,0,((E14/E13))*E16)</f>
        <v>1068.0428571428572</v>
      </c>
      <c r="F17" s="32">
        <f>IF(F16&lt;0,0,((F14/F13))*F16)</f>
        <v>815.87491856677525</v>
      </c>
      <c r="G17" s="32">
        <f>IF(G16&lt;0,0,((G14/G13))*G16)</f>
        <v>342.01183431952666</v>
      </c>
      <c r="H17" s="32">
        <f>IF(H16&lt;0,0,((H14/H13))*H16)</f>
        <v>181.83884892086334</v>
      </c>
      <c r="I17" s="32">
        <f>I16</f>
        <v>20</v>
      </c>
      <c r="J17" s="32">
        <v>0</v>
      </c>
      <c r="K17" s="32">
        <v>60</v>
      </c>
      <c r="L17" s="32">
        <f>IF(L16&lt;0,0,((L14/L13))*L16)</f>
        <v>226.41758241758242</v>
      </c>
      <c r="M17" s="32">
        <f>IF(M16&lt;0,0,((M14/M13))*M16)</f>
        <v>309.12672672672676</v>
      </c>
      <c r="N17" s="32">
        <f>IF(N16&lt;0,0,((N14/N13))*N16)</f>
        <v>507.96742433450828</v>
      </c>
      <c r="O17" s="32">
        <f>IF(O16&lt;0,0,((O14/O13))*O16)</f>
        <v>921.06074950690333</v>
      </c>
      <c r="P17" s="33">
        <f t="shared" si="0"/>
        <v>5595.4498893041637</v>
      </c>
      <c r="Q17" s="44"/>
      <c r="R17" s="42">
        <f>(P17-'2010'!P17)/'2010'!P17</f>
        <v>-0.13209847738380132</v>
      </c>
      <c r="T17" s="42"/>
      <c r="U17" s="35"/>
    </row>
    <row r="18" spans="1:26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6" ht="12" customHeight="1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26" ht="12" customHeight="1" x14ac:dyDescent="0.25">
      <c r="A20" s="9" t="s">
        <v>35</v>
      </c>
      <c r="B20" s="10"/>
      <c r="C20" s="9" t="s">
        <v>5</v>
      </c>
      <c r="D20" s="4">
        <f t="shared" ref="D20:O20" si="3">D11/D7</f>
        <v>49.548387096774192</v>
      </c>
      <c r="E20" s="4">
        <f t="shared" si="3"/>
        <v>57.321428571428569</v>
      </c>
      <c r="F20" s="4">
        <f t="shared" si="3"/>
        <v>39.096774193548384</v>
      </c>
      <c r="G20" s="4">
        <f t="shared" si="3"/>
        <v>22.266666666666666</v>
      </c>
      <c r="H20" s="4">
        <f t="shared" si="3"/>
        <v>17.806451612903224</v>
      </c>
      <c r="I20" s="4">
        <f t="shared" si="3"/>
        <v>9.8333333333333339</v>
      </c>
      <c r="J20" s="4">
        <f t="shared" si="3"/>
        <v>12.096774193548388</v>
      </c>
      <c r="K20" s="4">
        <f t="shared" si="3"/>
        <v>12.548387096774194</v>
      </c>
      <c r="L20" s="4">
        <f t="shared" si="3"/>
        <v>16.566666666666666</v>
      </c>
      <c r="M20" s="4">
        <f t="shared" si="3"/>
        <v>21.419354838709676</v>
      </c>
      <c r="N20" s="4">
        <f t="shared" si="3"/>
        <v>26.578947368421051</v>
      </c>
      <c r="O20" s="4">
        <f t="shared" si="3"/>
        <v>35</v>
      </c>
      <c r="P20" s="4">
        <f>P10/365</f>
        <v>11.667555875991347</v>
      </c>
    </row>
    <row r="21" spans="1:26" ht="12" customHeight="1" x14ac:dyDescent="0.3">
      <c r="A21" s="10"/>
      <c r="B21" s="47" t="s">
        <v>36</v>
      </c>
      <c r="C21" s="11" t="s">
        <v>26</v>
      </c>
      <c r="D21" s="4">
        <f>SUM(D11)</f>
        <v>1536</v>
      </c>
      <c r="E21" s="4">
        <f>SUM($D$11:E11)</f>
        <v>3141</v>
      </c>
      <c r="F21" s="4">
        <f>SUM($D$11:F11)</f>
        <v>4353</v>
      </c>
      <c r="G21" s="4">
        <f>SUM($D$11:G11)</f>
        <v>5021</v>
      </c>
      <c r="H21" s="4">
        <f>SUM($D$11:H11)</f>
        <v>5573</v>
      </c>
      <c r="I21" s="4">
        <f>SUM($D$11:I11)</f>
        <v>5868</v>
      </c>
      <c r="J21" s="4">
        <f>SUM($D$11:J11)</f>
        <v>6243</v>
      </c>
      <c r="K21" s="4">
        <f>SUM($D$11:K11)</f>
        <v>6632</v>
      </c>
      <c r="L21" s="4">
        <f>SUM($D$11:L11)</f>
        <v>7129</v>
      </c>
      <c r="M21" s="4">
        <f>SUM($D$11:M11)</f>
        <v>7793</v>
      </c>
      <c r="N21" s="4">
        <f>SUM($D$11:N11)</f>
        <v>8590.3684210526317</v>
      </c>
      <c r="O21" s="4">
        <f>SUM($D$11:O11)</f>
        <v>9675.3684210526317</v>
      </c>
      <c r="P21" s="4"/>
    </row>
    <row r="22" spans="1:26" ht="12" customHeight="1" x14ac:dyDescent="0.3">
      <c r="A22" s="10"/>
      <c r="B22" s="47" t="s">
        <v>37</v>
      </c>
      <c r="C22" s="11" t="s">
        <v>26</v>
      </c>
      <c r="D22" s="4">
        <f>SUM(D12)</f>
        <v>293.40000000000009</v>
      </c>
      <c r="E22" s="4">
        <f>SUM($D$12:E12)</f>
        <v>411.49000000000024</v>
      </c>
      <c r="F22" s="4">
        <f>SUM($D$12:F12)</f>
        <v>768.40000000000009</v>
      </c>
      <c r="G22" s="4">
        <f>SUM($D$12:G12)</f>
        <v>970.40000000000009</v>
      </c>
      <c r="H22" s="4">
        <f>SUM($D$12:H12)</f>
        <v>1090.4000000000001</v>
      </c>
      <c r="I22" s="4">
        <f>SUM($D$12:I12)</f>
        <v>1110.4000000000001</v>
      </c>
      <c r="J22" s="4">
        <f>SUM($D$12:J12)</f>
        <v>1160.4000000000001</v>
      </c>
      <c r="K22" s="4">
        <f>SUM($D$12:K12)</f>
        <v>1220.4000000000001</v>
      </c>
      <c r="L22" s="4">
        <f>SUM($D$12:L12)</f>
        <v>1288.23</v>
      </c>
      <c r="M22" s="4">
        <f>SUM($D$12:M12)</f>
        <v>1428.69</v>
      </c>
      <c r="N22" s="4">
        <f>SUM($D$12:N12)</f>
        <v>1651.0926315789475</v>
      </c>
      <c r="O22" s="4">
        <f>SUM($D$12:O12)</f>
        <v>1947.4526315789469</v>
      </c>
      <c r="P22" s="4"/>
      <c r="R22" s="36"/>
    </row>
    <row r="23" spans="1:26" ht="12" customHeight="1" x14ac:dyDescent="0.3">
      <c r="A23" s="10"/>
      <c r="B23" s="47" t="s">
        <v>38</v>
      </c>
      <c r="C23" s="11" t="s">
        <v>26</v>
      </c>
      <c r="D23" s="4">
        <f>SUM(D16)</f>
        <v>1126.8</v>
      </c>
      <c r="E23" s="4">
        <f>SUM($D$16:E16)</f>
        <v>2362.1999999999998</v>
      </c>
      <c r="F23" s="4">
        <f>SUM($D$16:F16)</f>
        <v>3165</v>
      </c>
      <c r="G23" s="4">
        <f>SUM($D$16:G16)</f>
        <v>3437</v>
      </c>
      <c r="H23" s="4">
        <f>SUM($D$16:H16)</f>
        <v>3579.8</v>
      </c>
      <c r="I23" s="4">
        <f>SUM($D$16:I16)</f>
        <v>3599.8</v>
      </c>
      <c r="J23" s="4">
        <f>SUM($D$16:J16)</f>
        <v>3599.8</v>
      </c>
      <c r="K23" s="4">
        <f>SUM($D$16:K16)</f>
        <v>3659.8</v>
      </c>
      <c r="L23" s="4">
        <f>SUM($D$16:L16)</f>
        <v>3760.8</v>
      </c>
      <c r="M23" s="4">
        <f>SUM($D$16:M16)</f>
        <v>4015.6000000000004</v>
      </c>
      <c r="N23" s="4">
        <f>SUM($D$16:N16)</f>
        <v>4416.968421052632</v>
      </c>
      <c r="O23" s="4">
        <f>SUM($D$16:O16)</f>
        <v>5092.7684210526322</v>
      </c>
      <c r="P23" s="4"/>
    </row>
    <row r="24" spans="1:26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/>
    </row>
    <row r="25" spans="1:26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14"/>
      <c r="U25" s="34"/>
      <c r="V25" s="34"/>
    </row>
    <row r="26" spans="1:26" ht="12" customHeight="1" x14ac:dyDescent="0.25">
      <c r="A26" s="9"/>
      <c r="B26" s="9" t="s">
        <v>40</v>
      </c>
      <c r="C26" s="9"/>
      <c r="D26" s="51">
        <f t="shared" ref="D26:P26" si="4">D16/D11</f>
        <v>0.73359374999999993</v>
      </c>
      <c r="E26" s="51">
        <f t="shared" si="4"/>
        <v>0.76971962616822431</v>
      </c>
      <c r="F26" s="51">
        <f t="shared" si="4"/>
        <v>0.6623762376237623</v>
      </c>
      <c r="G26" s="51">
        <f t="shared" si="4"/>
        <v>0.40718562874251496</v>
      </c>
      <c r="H26" s="51">
        <f t="shared" si="4"/>
        <v>0.25869565217391305</v>
      </c>
      <c r="I26" s="51">
        <f t="shared" si="4"/>
        <v>6.7796610169491525E-2</v>
      </c>
      <c r="J26" s="51">
        <f t="shared" si="4"/>
        <v>0</v>
      </c>
      <c r="K26" s="51">
        <f t="shared" si="4"/>
        <v>0.15424164524421594</v>
      </c>
      <c r="L26" s="51">
        <f t="shared" si="4"/>
        <v>0.20321931589537223</v>
      </c>
      <c r="M26" s="51">
        <f t="shared" si="4"/>
        <v>0.38373493975903616</v>
      </c>
      <c r="N26" s="51">
        <f t="shared" si="4"/>
        <v>0.50336633663366337</v>
      </c>
      <c r="O26" s="51">
        <f t="shared" si="4"/>
        <v>0.62285714285714278</v>
      </c>
      <c r="P26" s="51">
        <f t="shared" si="4"/>
        <v>0.52636428913355682</v>
      </c>
      <c r="Q26" s="34"/>
      <c r="R26" s="34"/>
      <c r="S26" s="34"/>
      <c r="T26" s="34"/>
      <c r="U26" s="34"/>
      <c r="V26" s="34"/>
      <c r="W26" s="9"/>
      <c r="X26" s="9"/>
      <c r="Y26" s="9"/>
      <c r="Z26" s="9"/>
    </row>
    <row r="27" spans="1:26" ht="12" customHeight="1" x14ac:dyDescent="0.3">
      <c r="B27" s="47" t="s">
        <v>41</v>
      </c>
      <c r="C27" s="9" t="s">
        <v>42</v>
      </c>
      <c r="D27" s="4">
        <f t="shared" ref="D27:P27" si="5">D16/D13</f>
        <v>1.4826315789473683</v>
      </c>
      <c r="E27" s="4">
        <f t="shared" si="5"/>
        <v>1.5214285714285716</v>
      </c>
      <c r="F27" s="4">
        <f t="shared" si="5"/>
        <v>1.3074918566775244</v>
      </c>
      <c r="G27" s="4">
        <f t="shared" si="5"/>
        <v>0.80473372781065089</v>
      </c>
      <c r="H27" s="4">
        <f t="shared" si="5"/>
        <v>1.027338129496403</v>
      </c>
      <c r="I27" s="4">
        <f t="shared" si="5"/>
        <v>1.1764705882352942</v>
      </c>
      <c r="J27" s="4" t="e">
        <f t="shared" si="5"/>
        <v>#DIV/0!</v>
      </c>
      <c r="K27" s="4" t="e">
        <f t="shared" si="5"/>
        <v>#DIV/0!</v>
      </c>
      <c r="L27" s="4">
        <f t="shared" si="5"/>
        <v>1.1098901098901099</v>
      </c>
      <c r="M27" s="4">
        <f t="shared" si="5"/>
        <v>0.7651651651651652</v>
      </c>
      <c r="N27" s="4">
        <f t="shared" si="5"/>
        <v>0.92694785462501517</v>
      </c>
      <c r="O27" s="4">
        <f t="shared" si="5"/>
        <v>1.3329388560157791</v>
      </c>
      <c r="P27" s="4">
        <f t="shared" si="5"/>
        <v>1.2593393721692958</v>
      </c>
      <c r="U27" s="34"/>
    </row>
    <row r="28" spans="1:26" ht="12" customHeight="1" x14ac:dyDescent="0.3">
      <c r="B28" s="47" t="s">
        <v>41</v>
      </c>
      <c r="C28" s="11" t="s">
        <v>5</v>
      </c>
      <c r="D28" s="4">
        <f t="shared" ref="D28:P28" si="6">D16/D7</f>
        <v>36.348387096774189</v>
      </c>
      <c r="E28" s="4">
        <f t="shared" si="6"/>
        <v>44.121428571428574</v>
      </c>
      <c r="F28" s="4">
        <f t="shared" si="6"/>
        <v>25.896774193548385</v>
      </c>
      <c r="G28" s="4">
        <f t="shared" si="6"/>
        <v>9.0666666666666664</v>
      </c>
      <c r="H28" s="4">
        <f t="shared" si="6"/>
        <v>4.6064516129032258</v>
      </c>
      <c r="I28" s="4">
        <f t="shared" si="6"/>
        <v>0.66666666666666663</v>
      </c>
      <c r="J28" s="4">
        <f t="shared" si="6"/>
        <v>0</v>
      </c>
      <c r="K28" s="4">
        <f t="shared" si="6"/>
        <v>1.935483870967742</v>
      </c>
      <c r="L28" s="4">
        <f t="shared" si="6"/>
        <v>3.3666666666666667</v>
      </c>
      <c r="M28" s="4">
        <f t="shared" si="6"/>
        <v>8.2193548387096786</v>
      </c>
      <c r="N28" s="4">
        <f t="shared" si="6"/>
        <v>13.378947368421052</v>
      </c>
      <c r="O28" s="4">
        <f t="shared" si="6"/>
        <v>21.799999999999997</v>
      </c>
      <c r="P28" s="4">
        <f t="shared" si="6"/>
        <v>13.952790194664745</v>
      </c>
      <c r="U28" s="34"/>
    </row>
    <row r="29" spans="1:26" ht="12" customHeight="1" x14ac:dyDescent="0.3">
      <c r="B29" s="47" t="s">
        <v>43</v>
      </c>
      <c r="C29" s="11" t="s">
        <v>5</v>
      </c>
      <c r="D29" s="4">
        <f t="shared" ref="D29:P29" si="7">D17/D7</f>
        <v>36.874482173174869</v>
      </c>
      <c r="E29" s="4">
        <f t="shared" si="7"/>
        <v>38.144387755102045</v>
      </c>
      <c r="F29" s="4">
        <f t="shared" si="7"/>
        <v>26.318545760218555</v>
      </c>
      <c r="G29" s="4">
        <f t="shared" si="7"/>
        <v>11.400394477317555</v>
      </c>
      <c r="H29" s="4">
        <f t="shared" si="7"/>
        <v>5.8657693200278498</v>
      </c>
      <c r="I29" s="4">
        <f t="shared" si="7"/>
        <v>0.66666666666666663</v>
      </c>
      <c r="J29" s="4">
        <f t="shared" si="7"/>
        <v>0</v>
      </c>
      <c r="K29" s="4">
        <f t="shared" si="7"/>
        <v>1.935483870967742</v>
      </c>
      <c r="L29" s="4">
        <f t="shared" si="7"/>
        <v>7.5472527472527471</v>
      </c>
      <c r="M29" s="4">
        <f t="shared" si="7"/>
        <v>9.9718298944105399</v>
      </c>
      <c r="N29" s="4">
        <f t="shared" si="7"/>
        <v>16.932247477816944</v>
      </c>
      <c r="O29" s="4">
        <f t="shared" si="7"/>
        <v>29.711637080867849</v>
      </c>
      <c r="P29" s="4">
        <f t="shared" si="7"/>
        <v>15.329999696723736</v>
      </c>
      <c r="U29" s="34"/>
    </row>
    <row r="30" spans="1:26" ht="12" customHeight="1" x14ac:dyDescent="0.3">
      <c r="B30" s="47" t="s">
        <v>44</v>
      </c>
      <c r="C30" s="47" t="s">
        <v>45</v>
      </c>
      <c r="D30" s="4">
        <f t="shared" ref="D30:P30" si="8">D16/$F$4</f>
        <v>4.0649350649350646</v>
      </c>
      <c r="E30" s="4">
        <f t="shared" si="8"/>
        <v>4.4567099567099575</v>
      </c>
      <c r="F30" s="4">
        <f t="shared" si="8"/>
        <v>2.8961038961038961</v>
      </c>
      <c r="G30" s="4">
        <f t="shared" si="8"/>
        <v>0.98124098124098125</v>
      </c>
      <c r="H30" s="4">
        <f t="shared" si="8"/>
        <v>0.51515151515151525</v>
      </c>
      <c r="I30" s="4">
        <f t="shared" si="8"/>
        <v>7.2150072150072159E-2</v>
      </c>
      <c r="J30" s="4">
        <f t="shared" si="8"/>
        <v>0</v>
      </c>
      <c r="K30" s="4">
        <f t="shared" si="8"/>
        <v>0.21645021645021645</v>
      </c>
      <c r="L30" s="4">
        <f t="shared" si="8"/>
        <v>0.36435786435786438</v>
      </c>
      <c r="M30" s="4">
        <f t="shared" si="8"/>
        <v>0.91919191919191923</v>
      </c>
      <c r="N30" s="4">
        <f t="shared" si="8"/>
        <v>1.4479380268853952</v>
      </c>
      <c r="O30" s="4">
        <f t="shared" si="8"/>
        <v>2.4379509379509381</v>
      </c>
      <c r="P30" s="4">
        <f t="shared" si="8"/>
        <v>18.372180451127821</v>
      </c>
      <c r="U30" s="34"/>
    </row>
    <row r="31" spans="1:26" ht="12" customHeight="1" x14ac:dyDescent="0.3">
      <c r="B31" s="47" t="s">
        <v>44</v>
      </c>
      <c r="C31" s="47" t="s">
        <v>46</v>
      </c>
      <c r="D31" s="4">
        <f t="shared" ref="D31:P31" si="9">D16/$F$3</f>
        <v>10.243636363636364</v>
      </c>
      <c r="E31" s="4">
        <f t="shared" si="9"/>
        <v>11.230909090909092</v>
      </c>
      <c r="F31" s="4">
        <f t="shared" si="9"/>
        <v>7.2981818181818179</v>
      </c>
      <c r="G31" s="4">
        <f t="shared" si="9"/>
        <v>2.4727272727272727</v>
      </c>
      <c r="H31" s="4">
        <f t="shared" si="9"/>
        <v>1.2981818181818183</v>
      </c>
      <c r="I31" s="4">
        <f t="shared" si="9"/>
        <v>0.18181818181818182</v>
      </c>
      <c r="J31" s="4">
        <f t="shared" si="9"/>
        <v>0</v>
      </c>
      <c r="K31" s="4">
        <f t="shared" si="9"/>
        <v>0.54545454545454541</v>
      </c>
      <c r="L31" s="4">
        <f t="shared" si="9"/>
        <v>0.91818181818181821</v>
      </c>
      <c r="M31" s="4">
        <f t="shared" si="9"/>
        <v>2.3163636363636364</v>
      </c>
      <c r="N31" s="4">
        <f t="shared" si="9"/>
        <v>3.648803827751196</v>
      </c>
      <c r="O31" s="4">
        <f t="shared" si="9"/>
        <v>6.1436363636363636</v>
      </c>
      <c r="P31" s="4">
        <f t="shared" si="9"/>
        <v>46.29789473684211</v>
      </c>
      <c r="U31" s="34"/>
    </row>
    <row r="32" spans="1:26" ht="12" customHeight="1" x14ac:dyDescent="0.3">
      <c r="B32" s="47" t="s">
        <v>47</v>
      </c>
      <c r="C32" s="47" t="s">
        <v>45</v>
      </c>
      <c r="D32" s="4">
        <f t="shared" ref="D32:P32" si="10">D17/$F$4</f>
        <v>4.1237696514012301</v>
      </c>
      <c r="E32" s="4">
        <f t="shared" si="10"/>
        <v>3.8529684601113177</v>
      </c>
      <c r="F32" s="4">
        <f t="shared" si="10"/>
        <v>2.9432717120013536</v>
      </c>
      <c r="G32" s="4">
        <f t="shared" si="10"/>
        <v>1.2338089261166185</v>
      </c>
      <c r="H32" s="4">
        <f t="shared" si="10"/>
        <v>0.65598430346631798</v>
      </c>
      <c r="I32" s="4">
        <f t="shared" si="10"/>
        <v>7.2150072150072159E-2</v>
      </c>
      <c r="J32" s="4">
        <f t="shared" si="10"/>
        <v>0</v>
      </c>
      <c r="K32" s="4">
        <f t="shared" si="10"/>
        <v>0.21645021645021645</v>
      </c>
      <c r="L32" s="4">
        <f t="shared" si="10"/>
        <v>0.81680224537367396</v>
      </c>
      <c r="M32" s="4">
        <f t="shared" si="10"/>
        <v>1.1151757818424486</v>
      </c>
      <c r="N32" s="4">
        <f t="shared" si="10"/>
        <v>1.8324943157810545</v>
      </c>
      <c r="O32" s="4">
        <f t="shared" si="10"/>
        <v>3.3227299765761305</v>
      </c>
      <c r="P32" s="4">
        <f t="shared" si="10"/>
        <v>20.185605661270433</v>
      </c>
    </row>
    <row r="33" spans="1:16" ht="12" customHeight="1" x14ac:dyDescent="0.3">
      <c r="B33" s="47" t="s">
        <v>47</v>
      </c>
      <c r="C33" s="47" t="s">
        <v>46</v>
      </c>
      <c r="D33" s="4">
        <f t="shared" ref="D33:P33" si="11">D17/$F$3</f>
        <v>10.3918995215311</v>
      </c>
      <c r="E33" s="4">
        <f t="shared" si="11"/>
        <v>9.70948051948052</v>
      </c>
      <c r="F33" s="4">
        <f t="shared" si="11"/>
        <v>7.4170447142434117</v>
      </c>
      <c r="G33" s="4">
        <f t="shared" si="11"/>
        <v>3.1091984938138788</v>
      </c>
      <c r="H33" s="4">
        <f t="shared" si="11"/>
        <v>1.6530804447351213</v>
      </c>
      <c r="I33" s="4">
        <f t="shared" si="11"/>
        <v>0.18181818181818182</v>
      </c>
      <c r="J33" s="4">
        <f t="shared" si="11"/>
        <v>0</v>
      </c>
      <c r="K33" s="4">
        <f t="shared" si="11"/>
        <v>0.54545454545454541</v>
      </c>
      <c r="L33" s="4">
        <f t="shared" si="11"/>
        <v>2.0583416583416585</v>
      </c>
      <c r="M33" s="4">
        <f t="shared" si="11"/>
        <v>2.8102429702429705</v>
      </c>
      <c r="N33" s="4">
        <f t="shared" si="11"/>
        <v>4.6178856757682567</v>
      </c>
      <c r="O33" s="4">
        <f t="shared" si="11"/>
        <v>8.3732795409718488</v>
      </c>
      <c r="P33" s="4">
        <f t="shared" si="11"/>
        <v>50.86772626640149</v>
      </c>
    </row>
    <row r="34" spans="1:16" ht="12" customHeight="1" x14ac:dyDescent="0.3">
      <c r="B34" s="47" t="s">
        <v>44</v>
      </c>
      <c r="C34" s="47" t="s">
        <v>48</v>
      </c>
      <c r="D34" s="4">
        <f t="shared" ref="D34:P34" si="12">1000*D30/D13</f>
        <v>5.3485987696514004</v>
      </c>
      <c r="E34" s="4">
        <f t="shared" si="12"/>
        <v>5.4885590599876322</v>
      </c>
      <c r="F34" s="4">
        <f t="shared" si="12"/>
        <v>4.716781589745759</v>
      </c>
      <c r="G34" s="4">
        <f t="shared" si="12"/>
        <v>2.9030798261567492</v>
      </c>
      <c r="H34" s="4">
        <f t="shared" si="12"/>
        <v>3.7061260082842824</v>
      </c>
      <c r="I34" s="4">
        <f t="shared" si="12"/>
        <v>4.2441218911807157</v>
      </c>
      <c r="J34" s="4" t="e">
        <f t="shared" si="12"/>
        <v>#DIV/0!</v>
      </c>
      <c r="K34" s="4" t="e">
        <f t="shared" si="12"/>
        <v>#DIV/0!</v>
      </c>
      <c r="L34" s="4">
        <f t="shared" si="12"/>
        <v>4.003932575361147</v>
      </c>
      <c r="M34" s="4">
        <f t="shared" si="12"/>
        <v>2.7603360936694274</v>
      </c>
      <c r="N34" s="4">
        <f t="shared" si="12"/>
        <v>3.3439677295274715</v>
      </c>
      <c r="O34" s="4">
        <f t="shared" si="12"/>
        <v>4.8085817316586548</v>
      </c>
      <c r="P34" s="4">
        <f t="shared" si="12"/>
        <v>4.5430713281720623</v>
      </c>
    </row>
    <row r="35" spans="1:16" ht="12" customHeight="1" x14ac:dyDescent="0.25">
      <c r="D35" s="36"/>
      <c r="E35" s="36"/>
      <c r="F35" s="36"/>
      <c r="G35" s="36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2" customHeight="1" x14ac:dyDescent="0.3">
      <c r="B38" s="47" t="s">
        <v>50</v>
      </c>
      <c r="D38" s="13">
        <f>4400*1.3</f>
        <v>5720</v>
      </c>
      <c r="E38" s="11" t="s">
        <v>26</v>
      </c>
      <c r="F38" s="51">
        <f>D38/$D$40</f>
        <v>0.54279749478079331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</row>
    <row r="39" spans="1:16" ht="12" customHeight="1" x14ac:dyDescent="0.25">
      <c r="B39" s="53" t="s">
        <v>53</v>
      </c>
      <c r="C39" s="53"/>
      <c r="D39" s="54">
        <f>K3*365</f>
        <v>4818</v>
      </c>
      <c r="E39" s="55" t="s">
        <v>26</v>
      </c>
      <c r="F39" s="51">
        <f>D39/$D$40</f>
        <v>0.45720250521920669</v>
      </c>
      <c r="G39" s="11" t="s">
        <v>54</v>
      </c>
      <c r="H39" s="4"/>
      <c r="I39" s="4"/>
      <c r="J39" s="4"/>
      <c r="K39" s="4">
        <f>K38-D38</f>
        <v>2846</v>
      </c>
      <c r="L39" s="11" t="s">
        <v>26</v>
      </c>
      <c r="M39" s="4"/>
      <c r="N39" s="13">
        <f>'2007'!I36</f>
        <v>14540</v>
      </c>
      <c r="O39" s="11" t="s">
        <v>26</v>
      </c>
      <c r="P39" s="4"/>
    </row>
    <row r="40" spans="1:16" ht="12" customHeight="1" x14ac:dyDescent="0.3">
      <c r="B40" s="47" t="s">
        <v>22</v>
      </c>
      <c r="D40" s="13">
        <f>SUM(D38:D39)</f>
        <v>10538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0.33224375437777259</v>
      </c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0.21264196054991033</v>
      </c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2" customHeight="1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ht="12" customHeight="1" x14ac:dyDescent="0.2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2" customHeight="1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2" customHeight="1" x14ac:dyDescent="0.2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ht="12" customHeigh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ht="12" customHeight="1" x14ac:dyDescent="0.2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ht="12" customHeight="1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ht="12" customHeight="1" x14ac:dyDescent="0.2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ht="12" customHeight="1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2" customHeight="1" x14ac:dyDescent="0.2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2" customHeight="1" x14ac:dyDescent="0.2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ht="12" customHeight="1" x14ac:dyDescent="0.2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ht="12" customHeight="1" x14ac:dyDescent="0.3">
      <c r="A63" s="47" t="s">
        <v>70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ht="12" customHeight="1" x14ac:dyDescent="0.2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ht="12" customHeight="1" x14ac:dyDescent="0.3">
      <c r="A65" s="48">
        <v>39807</v>
      </c>
      <c r="B65" s="47">
        <v>201.88659999999999</v>
      </c>
      <c r="D65" s="4"/>
      <c r="E65" s="4" t="s">
        <v>71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2" customHeight="1" x14ac:dyDescent="0.3">
      <c r="A66" s="48">
        <v>39836</v>
      </c>
      <c r="B66" s="47">
        <v>205.4554</v>
      </c>
      <c r="C66" s="47">
        <f t="shared" ref="C66:C72" si="13">B66-B65</f>
        <v>3.5688000000000102</v>
      </c>
      <c r="D66" s="4">
        <f>C66/29*30</f>
        <v>3.6918620689655279</v>
      </c>
      <c r="E66" s="4" t="s">
        <v>72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2" customHeight="1" x14ac:dyDescent="0.3">
      <c r="A67" s="48">
        <v>39890</v>
      </c>
      <c r="B67" s="47">
        <v>212.04820000000001</v>
      </c>
      <c r="C67" s="47">
        <f t="shared" si="13"/>
        <v>6.5928000000000111</v>
      </c>
      <c r="D67" s="4">
        <f>C67/52*28</f>
        <v>3.549969230769237</v>
      </c>
      <c r="E67" s="4" t="s">
        <v>73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2" customHeight="1" x14ac:dyDescent="0.3">
      <c r="A68" s="48">
        <v>39900</v>
      </c>
      <c r="B68" s="47">
        <v>213.6026</v>
      </c>
      <c r="C68" s="47">
        <f t="shared" si="13"/>
        <v>1.5543999999999869</v>
      </c>
      <c r="D68" s="4">
        <f>C68/10*31</f>
        <v>4.8186399999999594</v>
      </c>
      <c r="E68" s="4" t="s">
        <v>74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3">
      <c r="A69" s="56">
        <v>39941</v>
      </c>
      <c r="B69" s="47">
        <v>219</v>
      </c>
      <c r="C69" s="47">
        <f t="shared" si="13"/>
        <v>5.3974000000000046</v>
      </c>
      <c r="D69" s="4">
        <f>C69/(3+30+9)*30</f>
        <v>3.8552857142857171</v>
      </c>
      <c r="E69" s="4" t="s">
        <v>75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12" customHeight="1" x14ac:dyDescent="0.3">
      <c r="A70" s="56">
        <v>39969</v>
      </c>
      <c r="B70" s="47">
        <v>222.91</v>
      </c>
      <c r="C70" s="47">
        <f t="shared" si="13"/>
        <v>3.9099999999999966</v>
      </c>
      <c r="D70" s="4">
        <f>C70/(27)*30</f>
        <v>4.3444444444444414</v>
      </c>
      <c r="E70" s="4" t="s">
        <v>76</v>
      </c>
      <c r="F70" s="4"/>
      <c r="H70" s="4"/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3">
      <c r="A71" s="56">
        <v>39999</v>
      </c>
      <c r="B71" s="47">
        <v>226.892</v>
      </c>
      <c r="C71" s="47">
        <f t="shared" si="13"/>
        <v>3.9819999999999993</v>
      </c>
      <c r="D71" s="4">
        <f>C71/(30)*30</f>
        <v>3.9819999999999993</v>
      </c>
      <c r="E71" s="4" t="s">
        <v>77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3">
      <c r="A72" s="48">
        <v>40020</v>
      </c>
      <c r="B72" s="47">
        <v>229.57490000000001</v>
      </c>
      <c r="C72" s="47">
        <f t="shared" si="13"/>
        <v>2.6829000000000178</v>
      </c>
      <c r="D72" s="4">
        <f>C72/(21)*31</f>
        <v>3.9604714285714548</v>
      </c>
      <c r="E72" s="4" t="s">
        <v>78</v>
      </c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3">
      <c r="A73" s="48">
        <v>40173</v>
      </c>
      <c r="B73" s="47">
        <v>250.04400000000001</v>
      </c>
      <c r="C73" s="47">
        <f>B73-B65</f>
        <v>48.157400000000024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3">
      <c r="A74" s="48">
        <v>40370</v>
      </c>
      <c r="B74" s="47">
        <v>276.20999999999998</v>
      </c>
      <c r="C74" s="47">
        <f>B74-B71</f>
        <v>49.317999999999984</v>
      </c>
      <c r="D74" s="4"/>
      <c r="E74" s="4" t="s">
        <v>79</v>
      </c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A75" s="4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3">
      <c r="A76" s="47" t="s">
        <v>80</v>
      </c>
      <c r="C76" s="47">
        <f>48</f>
        <v>48</v>
      </c>
      <c r="D76" s="4" t="s">
        <v>81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3">
      <c r="A78" s="56">
        <v>40306</v>
      </c>
      <c r="B78" s="47">
        <v>267.7</v>
      </c>
      <c r="C78" s="47">
        <f>B78-B73</f>
        <v>17.655999999999977</v>
      </c>
      <c r="D78" s="4">
        <f>C78/E78</f>
        <v>0.13275187969924795</v>
      </c>
      <c r="E78" s="4">
        <f>A78-A73</f>
        <v>133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3">
      <c r="A80" s="56">
        <v>40894</v>
      </c>
      <c r="B80" s="47">
        <v>346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4:16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4:16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4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4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4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4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4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4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4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4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4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4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4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4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4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4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>
      <selection activeCell="P11" sqref="P11:P17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6" width="8.6640625" customWidth="1"/>
  </cols>
  <sheetData>
    <row r="1" spans="1:26" ht="12" customHeight="1" x14ac:dyDescent="0.3">
      <c r="A1" s="2" t="s">
        <v>0</v>
      </c>
      <c r="D1" s="3">
        <v>2010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26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</row>
    <row r="3" spans="1:26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f>2+K4</f>
        <v>12</v>
      </c>
      <c r="L3" s="11" t="s">
        <v>5</v>
      </c>
      <c r="M3" s="4"/>
      <c r="N3" s="4"/>
      <c r="O3" s="4"/>
      <c r="P3" s="4"/>
      <c r="Q3" s="8"/>
    </row>
    <row r="4" spans="1:26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 t="s">
        <v>8</v>
      </c>
      <c r="I4" s="4"/>
      <c r="J4" s="4"/>
      <c r="K4" s="4">
        <v>10</v>
      </c>
      <c r="L4" s="11" t="s">
        <v>5</v>
      </c>
      <c r="M4" s="11"/>
    </row>
    <row r="5" spans="1:26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6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9.75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 x14ac:dyDescent="0.25">
      <c r="A8" s="25">
        <v>2010</v>
      </c>
      <c r="B8" s="26" t="s">
        <v>23</v>
      </c>
      <c r="C8" s="30" t="s">
        <v>65</v>
      </c>
      <c r="D8" s="28">
        <v>-15.6</v>
      </c>
      <c r="E8" s="28">
        <v>-10.8</v>
      </c>
      <c r="F8" s="28">
        <v>-4.0999999999999996</v>
      </c>
      <c r="G8" s="28">
        <v>4</v>
      </c>
      <c r="H8" s="28">
        <v>11.6</v>
      </c>
      <c r="I8" s="28">
        <v>14.1</v>
      </c>
      <c r="J8" s="28">
        <v>22</v>
      </c>
      <c r="K8" s="28">
        <v>17</v>
      </c>
      <c r="L8" s="28">
        <v>10.4</v>
      </c>
      <c r="M8" s="28">
        <v>3.5</v>
      </c>
      <c r="N8" s="28">
        <v>-2.5</v>
      </c>
      <c r="O8" s="28">
        <v>-11.9</v>
      </c>
      <c r="P8" s="28">
        <f>AVERAGE(D8:O8)</f>
        <v>3.1416666666666671</v>
      </c>
    </row>
    <row r="9" spans="1:26" ht="12" customHeight="1" x14ac:dyDescent="0.25">
      <c r="A9" s="25">
        <v>2010</v>
      </c>
      <c r="B9" s="26" t="s">
        <v>67</v>
      </c>
      <c r="C9" s="30" t="s">
        <v>26</v>
      </c>
      <c r="D9" s="32">
        <f>(19590-18489)</f>
        <v>1101</v>
      </c>
      <c r="E9" s="32">
        <f>(20400-19590)</f>
        <v>810</v>
      </c>
      <c r="F9" s="32">
        <f>(21070-20400)</f>
        <v>670</v>
      </c>
      <c r="G9" s="32">
        <f>(21450-21070)</f>
        <v>380</v>
      </c>
      <c r="H9" s="32">
        <f>(21740-21450)</f>
        <v>290</v>
      </c>
      <c r="I9" s="32">
        <f>(21983-21740)</f>
        <v>243</v>
      </c>
      <c r="J9" s="32">
        <f>(22170-21983)</f>
        <v>187</v>
      </c>
      <c r="K9" s="32">
        <f>(22330-22170)</f>
        <v>160</v>
      </c>
      <c r="L9" s="32">
        <f>(22615-22330)</f>
        <v>285</v>
      </c>
      <c r="M9" s="32">
        <f>(22982-22615)</f>
        <v>367</v>
      </c>
      <c r="N9" s="32">
        <f>(23614-22982)</f>
        <v>632</v>
      </c>
      <c r="O9" s="32">
        <f>(24621-23614)</f>
        <v>1007</v>
      </c>
      <c r="P9" s="32">
        <f t="shared" ref="P9:P17" si="0">SUM(D9:O9)</f>
        <v>6132</v>
      </c>
      <c r="Q9" s="34"/>
      <c r="R9" s="35">
        <f>P9/$P$11</f>
        <v>0.53215308513407966</v>
      </c>
      <c r="S9" s="35"/>
      <c r="T9" s="36"/>
    </row>
    <row r="10" spans="1:26" ht="12" customHeight="1" x14ac:dyDescent="0.25">
      <c r="A10" s="25">
        <v>2010</v>
      </c>
      <c r="B10" s="26" t="s">
        <v>68</v>
      </c>
      <c r="C10" s="30" t="s">
        <v>26</v>
      </c>
      <c r="D10" s="32">
        <f>(17240-16205)</f>
        <v>1035</v>
      </c>
      <c r="E10" s="32">
        <f>(18000-17240)</f>
        <v>760</v>
      </c>
      <c r="F10" s="32">
        <f>(18600-18000)</f>
        <v>600</v>
      </c>
      <c r="G10" s="32">
        <f>(18970-18600)</f>
        <v>370</v>
      </c>
      <c r="H10" s="32">
        <f>(19240-18970)</f>
        <v>270</v>
      </c>
      <c r="I10" s="32">
        <f>(19445-19240)</f>
        <v>205</v>
      </c>
      <c r="J10" s="32">
        <f>(19590-19445)</f>
        <v>145</v>
      </c>
      <c r="K10" s="32">
        <f>(19730-19590)</f>
        <v>140</v>
      </c>
      <c r="L10" s="32">
        <f>(19930-19730)</f>
        <v>200</v>
      </c>
      <c r="M10" s="32">
        <f>(20270-19930)</f>
        <v>340</v>
      </c>
      <c r="N10" s="32">
        <f>(20812-20270)</f>
        <v>542</v>
      </c>
      <c r="O10" s="32">
        <f>(21596-20812)</f>
        <v>784</v>
      </c>
      <c r="P10" s="32">
        <f t="shared" si="0"/>
        <v>5391</v>
      </c>
      <c r="Q10" s="34"/>
      <c r="R10" s="35">
        <f>P10/$P$11</f>
        <v>0.46784691486592034</v>
      </c>
      <c r="S10" s="35"/>
      <c r="T10" s="36"/>
    </row>
    <row r="11" spans="1:26" ht="12" customHeight="1" x14ac:dyDescent="0.25">
      <c r="A11" s="25">
        <v>2010</v>
      </c>
      <c r="B11" s="26" t="s">
        <v>25</v>
      </c>
      <c r="C11" s="30" t="s">
        <v>26</v>
      </c>
      <c r="D11" s="32">
        <f t="shared" ref="D11:O11" si="1">SUM(D9:D10)</f>
        <v>2136</v>
      </c>
      <c r="E11" s="32">
        <f t="shared" si="1"/>
        <v>1570</v>
      </c>
      <c r="F11" s="32">
        <f t="shared" si="1"/>
        <v>1270</v>
      </c>
      <c r="G11" s="32">
        <f t="shared" si="1"/>
        <v>750</v>
      </c>
      <c r="H11" s="32">
        <f t="shared" si="1"/>
        <v>560</v>
      </c>
      <c r="I11" s="32">
        <f t="shared" si="1"/>
        <v>448</v>
      </c>
      <c r="J11" s="32">
        <f t="shared" si="1"/>
        <v>332</v>
      </c>
      <c r="K11" s="32">
        <f t="shared" si="1"/>
        <v>300</v>
      </c>
      <c r="L11" s="32">
        <f t="shared" si="1"/>
        <v>485</v>
      </c>
      <c r="M11" s="32">
        <f t="shared" si="1"/>
        <v>707</v>
      </c>
      <c r="N11" s="32">
        <f t="shared" si="1"/>
        <v>1174</v>
      </c>
      <c r="O11" s="32">
        <f t="shared" si="1"/>
        <v>1791</v>
      </c>
      <c r="P11" s="33">
        <f t="shared" si="0"/>
        <v>11523</v>
      </c>
      <c r="Q11" s="34"/>
      <c r="R11" s="35">
        <f>P11/$P$11</f>
        <v>1</v>
      </c>
      <c r="S11" s="35"/>
      <c r="T11" s="36"/>
    </row>
    <row r="12" spans="1:26" ht="12" customHeight="1" x14ac:dyDescent="0.25">
      <c r="A12" s="25">
        <v>2010</v>
      </c>
      <c r="B12" s="26" t="s">
        <v>69</v>
      </c>
      <c r="C12" s="30" t="s">
        <v>26</v>
      </c>
      <c r="D12" s="32">
        <f>(980-772.67)</f>
        <v>207.33000000000004</v>
      </c>
      <c r="E12" s="32">
        <f>(1180-980)</f>
        <v>200</v>
      </c>
      <c r="F12" s="32">
        <f>(1465-1180)</f>
        <v>285</v>
      </c>
      <c r="G12" s="32">
        <f>(1644-1465)</f>
        <v>179</v>
      </c>
      <c r="H12" s="32">
        <f>(1740-1644)</f>
        <v>96</v>
      </c>
      <c r="I12" s="32">
        <f>(1788.35-1740)</f>
        <v>48.349999999999909</v>
      </c>
      <c r="J12" s="71">
        <f>(1820-1788.35)</f>
        <v>31.650000000000091</v>
      </c>
      <c r="K12" s="71">
        <f>1865.64-1820</f>
        <v>45.6400000000001</v>
      </c>
      <c r="L12" s="32">
        <f>1960-1865.64</f>
        <v>94.3599999999999</v>
      </c>
      <c r="M12" s="32">
        <f>2170-1960</f>
        <v>210</v>
      </c>
      <c r="N12" s="32">
        <f>(2353-2170)</f>
        <v>183</v>
      </c>
      <c r="O12" s="32">
        <f>(2559.6-2353)</f>
        <v>206.59999999999991</v>
      </c>
      <c r="P12" s="32">
        <f t="shared" si="0"/>
        <v>1786.9299999999998</v>
      </c>
      <c r="Q12" s="34"/>
      <c r="R12" s="35">
        <f>P12/$P$11</f>
        <v>0.15507506725679074</v>
      </c>
      <c r="S12" s="35"/>
      <c r="T12" s="36"/>
    </row>
    <row r="13" spans="1:26" ht="12" customHeight="1" x14ac:dyDescent="0.25">
      <c r="A13" s="25">
        <v>2010</v>
      </c>
      <c r="B13" s="40" t="s">
        <v>29</v>
      </c>
      <c r="C13" s="30" t="s">
        <v>66</v>
      </c>
      <c r="D13" s="32">
        <v>1000</v>
      </c>
      <c r="E13" s="32">
        <v>777</v>
      </c>
      <c r="F13" s="32">
        <v>648</v>
      </c>
      <c r="G13" s="32">
        <v>379</v>
      </c>
      <c r="H13" s="32">
        <v>146</v>
      </c>
      <c r="I13" s="32">
        <v>7</v>
      </c>
      <c r="J13" s="32">
        <v>0</v>
      </c>
      <c r="K13" s="32">
        <v>41</v>
      </c>
      <c r="L13" s="32">
        <v>154</v>
      </c>
      <c r="M13" s="32">
        <v>405</v>
      </c>
      <c r="N13" s="32">
        <v>585</v>
      </c>
      <c r="O13" s="64">
        <v>898</v>
      </c>
      <c r="P13" s="32">
        <f t="shared" si="0"/>
        <v>5040</v>
      </c>
      <c r="Q13" s="42"/>
      <c r="R13" s="42">
        <f>(P13-'2009'!P13)/'2009'!P13</f>
        <v>0.14415437003405221</v>
      </c>
      <c r="S13" s="35"/>
      <c r="T13" s="36"/>
      <c r="V13" s="35"/>
    </row>
    <row r="14" spans="1:26" ht="12" customHeight="1" x14ac:dyDescent="0.25">
      <c r="A14" s="25">
        <v>2010</v>
      </c>
      <c r="B14" s="40" t="s">
        <v>31</v>
      </c>
      <c r="C14" s="30" t="s">
        <v>66</v>
      </c>
      <c r="D14" s="32">
        <v>771</v>
      </c>
      <c r="E14" s="32">
        <v>702</v>
      </c>
      <c r="F14" s="32">
        <v>624</v>
      </c>
      <c r="G14" s="32">
        <v>425</v>
      </c>
      <c r="H14" s="32">
        <v>177</v>
      </c>
      <c r="I14" s="32">
        <v>26</v>
      </c>
      <c r="J14" s="32">
        <v>6</v>
      </c>
      <c r="K14" s="32">
        <v>34</v>
      </c>
      <c r="L14" s="32">
        <v>204</v>
      </c>
      <c r="M14" s="32">
        <v>404</v>
      </c>
      <c r="N14" s="32">
        <v>548</v>
      </c>
      <c r="O14" s="32">
        <v>691</v>
      </c>
      <c r="P14" s="32">
        <f t="shared" si="0"/>
        <v>4612</v>
      </c>
      <c r="R14" s="42">
        <f>(P13-P14)/P14</f>
        <v>9.2801387684301823E-2</v>
      </c>
      <c r="T14" s="42"/>
      <c r="U14" s="35"/>
      <c r="V14" s="34"/>
    </row>
    <row r="15" spans="1:26" ht="12" customHeight="1" x14ac:dyDescent="0.25">
      <c r="A15" s="25">
        <v>2010</v>
      </c>
      <c r="B15" s="26" t="s">
        <v>32</v>
      </c>
      <c r="C15" s="30" t="s">
        <v>26</v>
      </c>
      <c r="D15" s="32">
        <f t="shared" ref="D15:O15" si="2">$K$3*D7</f>
        <v>372</v>
      </c>
      <c r="E15" s="32">
        <f t="shared" si="2"/>
        <v>336</v>
      </c>
      <c r="F15" s="32">
        <f t="shared" si="2"/>
        <v>372</v>
      </c>
      <c r="G15" s="32">
        <f t="shared" si="2"/>
        <v>360</v>
      </c>
      <c r="H15" s="32">
        <f t="shared" si="2"/>
        <v>372</v>
      </c>
      <c r="I15" s="32">
        <f t="shared" si="2"/>
        <v>360</v>
      </c>
      <c r="J15" s="32">
        <f t="shared" si="2"/>
        <v>372</v>
      </c>
      <c r="K15" s="32">
        <f t="shared" si="2"/>
        <v>372</v>
      </c>
      <c r="L15" s="32">
        <f t="shared" si="2"/>
        <v>360</v>
      </c>
      <c r="M15" s="32">
        <f t="shared" si="2"/>
        <v>372</v>
      </c>
      <c r="N15" s="32">
        <f t="shared" si="2"/>
        <v>360</v>
      </c>
      <c r="O15" s="32">
        <f t="shared" si="2"/>
        <v>372</v>
      </c>
      <c r="P15" s="32">
        <f t="shared" si="0"/>
        <v>4380</v>
      </c>
    </row>
    <row r="16" spans="1:26" ht="12" customHeight="1" x14ac:dyDescent="0.25">
      <c r="A16" s="25">
        <v>2010</v>
      </c>
      <c r="B16" s="26" t="s">
        <v>33</v>
      </c>
      <c r="C16" s="30" t="s">
        <v>26</v>
      </c>
      <c r="D16" s="32">
        <f t="shared" ref="D16:I16" si="3">D11-D15</f>
        <v>1764</v>
      </c>
      <c r="E16" s="32">
        <f t="shared" si="3"/>
        <v>1234</v>
      </c>
      <c r="F16" s="32">
        <f t="shared" si="3"/>
        <v>898</v>
      </c>
      <c r="G16" s="32">
        <f t="shared" si="3"/>
        <v>390</v>
      </c>
      <c r="H16" s="32">
        <f t="shared" si="3"/>
        <v>188</v>
      </c>
      <c r="I16" s="32">
        <f t="shared" si="3"/>
        <v>88</v>
      </c>
      <c r="J16" s="32">
        <v>0</v>
      </c>
      <c r="K16" s="32">
        <v>0</v>
      </c>
      <c r="L16" s="32">
        <f>L11-L15</f>
        <v>125</v>
      </c>
      <c r="M16" s="32">
        <f>M11-M15</f>
        <v>335</v>
      </c>
      <c r="N16" s="32">
        <f>N11-N15</f>
        <v>814</v>
      </c>
      <c r="O16" s="32">
        <f>O11-O15</f>
        <v>1419</v>
      </c>
      <c r="P16" s="32">
        <f t="shared" si="0"/>
        <v>7255</v>
      </c>
      <c r="R16" s="35"/>
      <c r="T16" s="36"/>
    </row>
    <row r="17" spans="1:26" ht="12" customHeight="1" x14ac:dyDescent="0.25">
      <c r="A17" s="25">
        <v>2010</v>
      </c>
      <c r="B17" s="26" t="s">
        <v>34</v>
      </c>
      <c r="C17" s="30" t="s">
        <v>26</v>
      </c>
      <c r="D17" s="32">
        <f>IF(D16&lt;0,0,((D14/D13))*D16)</f>
        <v>1360.0440000000001</v>
      </c>
      <c r="E17" s="32">
        <f>IF(E16&lt;0,0,((E14/E13))*E16)</f>
        <v>1114.8880308880309</v>
      </c>
      <c r="F17" s="32">
        <f>IF(F16&lt;0,0,((F14/F13))*F16)</f>
        <v>864.74074074074065</v>
      </c>
      <c r="G17" s="32">
        <f>IF(G16&lt;0,0,((G14/G13))*G16)</f>
        <v>437.33509234828495</v>
      </c>
      <c r="H17" s="32">
        <f>IF(H16&lt;0,0,((H14/H13))*H16)</f>
        <v>227.91780821917808</v>
      </c>
      <c r="I17" s="43">
        <f>I16</f>
        <v>88</v>
      </c>
      <c r="J17" s="43">
        <v>0</v>
      </c>
      <c r="K17" s="43">
        <v>0</v>
      </c>
      <c r="L17" s="32">
        <f>IF(L16&lt;0,0,((L14/L13))*L16)</f>
        <v>165.58441558441558</v>
      </c>
      <c r="M17" s="32">
        <f>IF(M16&lt;0,0,((M14/M13))*M16)</f>
        <v>334.17283950617286</v>
      </c>
      <c r="N17" s="32">
        <f>IF(N16&lt;0,0,((N14/N13))*N16)</f>
        <v>762.51623931623931</v>
      </c>
      <c r="O17" s="32">
        <f>IF(O16&lt;0,0,((O14/O13))*O16)</f>
        <v>1091.9031180400891</v>
      </c>
      <c r="P17" s="33">
        <f t="shared" si="0"/>
        <v>6447.1022846431506</v>
      </c>
      <c r="Q17" s="44"/>
      <c r="R17" s="42">
        <f>(P17-'2009'!P17)/'2009'!P17</f>
        <v>9.2997081472820514E-2</v>
      </c>
      <c r="T17" s="42"/>
      <c r="U17" s="35"/>
    </row>
    <row r="18" spans="1:26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6" ht="12" customHeight="1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26" ht="12" customHeight="1" x14ac:dyDescent="0.25">
      <c r="A20" s="9" t="s">
        <v>35</v>
      </c>
      <c r="B20" s="10"/>
      <c r="C20" s="9" t="s">
        <v>5</v>
      </c>
      <c r="D20" s="4">
        <f t="shared" ref="D20:O20" si="4">D11/D7</f>
        <v>68.903225806451616</v>
      </c>
      <c r="E20" s="4">
        <f t="shared" si="4"/>
        <v>56.071428571428569</v>
      </c>
      <c r="F20" s="4">
        <f t="shared" si="4"/>
        <v>40.967741935483872</v>
      </c>
      <c r="G20" s="4">
        <f t="shared" si="4"/>
        <v>25</v>
      </c>
      <c r="H20" s="4">
        <f t="shared" si="4"/>
        <v>18.06451612903226</v>
      </c>
      <c r="I20" s="4">
        <f t="shared" si="4"/>
        <v>14.933333333333334</v>
      </c>
      <c r="J20" s="4">
        <f t="shared" si="4"/>
        <v>10.709677419354838</v>
      </c>
      <c r="K20" s="4">
        <f t="shared" si="4"/>
        <v>9.67741935483871</v>
      </c>
      <c r="L20" s="4">
        <f t="shared" si="4"/>
        <v>16.166666666666668</v>
      </c>
      <c r="M20" s="4">
        <f t="shared" si="4"/>
        <v>22.806451612903224</v>
      </c>
      <c r="N20" s="4">
        <f t="shared" si="4"/>
        <v>39.133333333333333</v>
      </c>
      <c r="O20" s="4">
        <f t="shared" si="4"/>
        <v>57.774193548387096</v>
      </c>
      <c r="P20" s="4">
        <f>P10/365</f>
        <v>14.769863013698631</v>
      </c>
    </row>
    <row r="21" spans="1:26" ht="12" customHeight="1" x14ac:dyDescent="0.3">
      <c r="A21" s="10"/>
      <c r="B21" s="47" t="s">
        <v>36</v>
      </c>
      <c r="C21" s="11" t="s">
        <v>26</v>
      </c>
      <c r="D21" s="4">
        <f>SUM(D11)</f>
        <v>2136</v>
      </c>
      <c r="E21" s="4">
        <f>SUM($D$11:E11)</f>
        <v>3706</v>
      </c>
      <c r="F21" s="4">
        <f>SUM($D$11:F11)</f>
        <v>4976</v>
      </c>
      <c r="G21" s="4">
        <f>SUM($D$11:G11)</f>
        <v>5726</v>
      </c>
      <c r="H21" s="4">
        <f>SUM($D$11:H11)</f>
        <v>6286</v>
      </c>
      <c r="I21" s="4">
        <f>SUM($D$11:I11)</f>
        <v>6734</v>
      </c>
      <c r="J21" s="4">
        <f>SUM($D$11:J11)</f>
        <v>7066</v>
      </c>
      <c r="K21" s="4">
        <f>SUM($D$11:K11)</f>
        <v>7366</v>
      </c>
      <c r="L21" s="4">
        <f>SUM($D$11:L11)</f>
        <v>7851</v>
      </c>
      <c r="M21" s="4">
        <f>SUM($D$11:M11)</f>
        <v>8558</v>
      </c>
      <c r="N21" s="4">
        <f>SUM($D$11:N11)</f>
        <v>9732</v>
      </c>
      <c r="O21" s="4">
        <f>SUM($D$11:O11)</f>
        <v>11523</v>
      </c>
      <c r="P21" s="4"/>
    </row>
    <row r="22" spans="1:26" ht="12" customHeight="1" x14ac:dyDescent="0.3">
      <c r="A22" s="10"/>
      <c r="B22" s="47" t="s">
        <v>37</v>
      </c>
      <c r="C22" s="11" t="s">
        <v>26</v>
      </c>
      <c r="D22" s="4">
        <f>SUM(D12)</f>
        <v>207.33000000000004</v>
      </c>
      <c r="E22" s="4">
        <f>SUM($D$12:E12)</f>
        <v>407.33000000000004</v>
      </c>
      <c r="F22" s="4">
        <f>SUM($D$12:F12)</f>
        <v>692.33</v>
      </c>
      <c r="G22" s="4">
        <f>SUM($D$12:G12)</f>
        <v>871.33</v>
      </c>
      <c r="H22" s="4">
        <f>SUM($D$12:H12)</f>
        <v>967.33</v>
      </c>
      <c r="I22" s="4">
        <f>SUM($D$12:I12)</f>
        <v>1015.68</v>
      </c>
      <c r="J22" s="4">
        <f>SUM($D$12:J12)</f>
        <v>1047.33</v>
      </c>
      <c r="K22" s="4">
        <f>SUM($D$12:K12)</f>
        <v>1092.97</v>
      </c>
      <c r="L22" s="4">
        <f>SUM($D$12:L12)</f>
        <v>1187.33</v>
      </c>
      <c r="M22" s="4">
        <f>SUM($D$12:M12)</f>
        <v>1397.33</v>
      </c>
      <c r="N22" s="4">
        <f>SUM($D$12:N12)</f>
        <v>1580.33</v>
      </c>
      <c r="O22" s="4">
        <f>SUM($D$12:O12)</f>
        <v>1786.9299999999998</v>
      </c>
      <c r="P22" s="4"/>
      <c r="R22" s="36"/>
    </row>
    <row r="23" spans="1:26" ht="12" customHeight="1" x14ac:dyDescent="0.3">
      <c r="A23" s="10"/>
      <c r="B23" s="47" t="s">
        <v>38</v>
      </c>
      <c r="C23" s="11" t="s">
        <v>26</v>
      </c>
      <c r="D23" s="4">
        <f>SUM(D16)</f>
        <v>1764</v>
      </c>
      <c r="E23" s="4">
        <f>SUM($D$16:E16)</f>
        <v>2998</v>
      </c>
      <c r="F23" s="4">
        <f>SUM($D$16:F16)</f>
        <v>3896</v>
      </c>
      <c r="G23" s="4">
        <f>SUM($D$16:G16)</f>
        <v>4286</v>
      </c>
      <c r="H23" s="4">
        <f>SUM($D$16:H16)</f>
        <v>4474</v>
      </c>
      <c r="I23" s="4">
        <f>SUM($D$16:I16)</f>
        <v>4562</v>
      </c>
      <c r="J23" s="4">
        <f>SUM($D$16:J16)</f>
        <v>4562</v>
      </c>
      <c r="K23" s="4">
        <f>SUM($D$16:K16)</f>
        <v>4562</v>
      </c>
      <c r="L23" s="4">
        <f>SUM($D$16:L16)</f>
        <v>4687</v>
      </c>
      <c r="M23" s="4">
        <f>SUM($D$16:M16)</f>
        <v>5022</v>
      </c>
      <c r="N23" s="4">
        <f>SUM($D$16:N16)</f>
        <v>5836</v>
      </c>
      <c r="O23" s="4">
        <f>SUM($D$16:O16)</f>
        <v>7255</v>
      </c>
      <c r="P23" s="4"/>
    </row>
    <row r="24" spans="1:26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/>
    </row>
    <row r="25" spans="1:26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14"/>
      <c r="U25" s="34"/>
      <c r="V25" s="34"/>
    </row>
    <row r="26" spans="1:26" ht="12" customHeight="1" x14ac:dyDescent="0.25">
      <c r="A26" s="9"/>
      <c r="B26" s="9" t="s">
        <v>40</v>
      </c>
      <c r="C26" s="9"/>
      <c r="D26" s="51">
        <f t="shared" ref="D26:P26" si="5">D16/D11</f>
        <v>0.8258426966292135</v>
      </c>
      <c r="E26" s="51">
        <f t="shared" si="5"/>
        <v>0.78598726114649686</v>
      </c>
      <c r="F26" s="51">
        <f t="shared" si="5"/>
        <v>0.70708661417322838</v>
      </c>
      <c r="G26" s="51">
        <f t="shared" si="5"/>
        <v>0.52</v>
      </c>
      <c r="H26" s="51">
        <f t="shared" si="5"/>
        <v>0.33571428571428569</v>
      </c>
      <c r="I26" s="51">
        <f t="shared" si="5"/>
        <v>0.19642857142857142</v>
      </c>
      <c r="J26" s="51">
        <f t="shared" si="5"/>
        <v>0</v>
      </c>
      <c r="K26" s="51">
        <f t="shared" si="5"/>
        <v>0</v>
      </c>
      <c r="L26" s="51">
        <f t="shared" si="5"/>
        <v>0.25773195876288657</v>
      </c>
      <c r="M26" s="51">
        <f t="shared" si="5"/>
        <v>0.47383309759547382</v>
      </c>
      <c r="N26" s="51">
        <f t="shared" si="5"/>
        <v>0.69335604770017034</v>
      </c>
      <c r="O26" s="51">
        <f t="shared" si="5"/>
        <v>0.79229480737018421</v>
      </c>
      <c r="P26" s="51">
        <f t="shared" si="5"/>
        <v>0.62961034452833464</v>
      </c>
      <c r="Q26" s="34"/>
      <c r="R26" s="34"/>
      <c r="S26" s="34"/>
      <c r="T26" s="34"/>
      <c r="U26" s="34"/>
      <c r="V26" s="34"/>
      <c r="W26" s="9"/>
      <c r="X26" s="9"/>
      <c r="Y26" s="9"/>
      <c r="Z26" s="9"/>
    </row>
    <row r="27" spans="1:26" ht="12" customHeight="1" x14ac:dyDescent="0.3">
      <c r="B27" s="47" t="s">
        <v>41</v>
      </c>
      <c r="C27" s="9" t="s">
        <v>42</v>
      </c>
      <c r="D27" s="4">
        <f t="shared" ref="D27:P27" si="6">D16/D13</f>
        <v>1.764</v>
      </c>
      <c r="E27" s="4">
        <f t="shared" si="6"/>
        <v>1.5881595881595882</v>
      </c>
      <c r="F27" s="4">
        <f t="shared" si="6"/>
        <v>1.3858024691358024</v>
      </c>
      <c r="G27" s="4">
        <f t="shared" si="6"/>
        <v>1.029023746701847</v>
      </c>
      <c r="H27" s="4">
        <f t="shared" si="6"/>
        <v>1.2876712328767124</v>
      </c>
      <c r="I27" s="4">
        <f t="shared" si="6"/>
        <v>12.571428571428571</v>
      </c>
      <c r="J27" s="4" t="e">
        <f t="shared" si="6"/>
        <v>#DIV/0!</v>
      </c>
      <c r="K27" s="4">
        <f t="shared" si="6"/>
        <v>0</v>
      </c>
      <c r="L27" s="4">
        <f t="shared" si="6"/>
        <v>0.81168831168831168</v>
      </c>
      <c r="M27" s="4">
        <f t="shared" si="6"/>
        <v>0.8271604938271605</v>
      </c>
      <c r="N27" s="4">
        <f t="shared" si="6"/>
        <v>1.3914529914529914</v>
      </c>
      <c r="O27" s="4">
        <f t="shared" si="6"/>
        <v>1.5801781737193763</v>
      </c>
      <c r="P27" s="4">
        <f t="shared" si="6"/>
        <v>1.439484126984127</v>
      </c>
      <c r="U27" s="34"/>
    </row>
    <row r="28" spans="1:26" ht="12" customHeight="1" x14ac:dyDescent="0.3">
      <c r="B28" s="47" t="s">
        <v>41</v>
      </c>
      <c r="C28" s="11" t="s">
        <v>5</v>
      </c>
      <c r="D28" s="4">
        <f t="shared" ref="D28:P28" si="7">D16/D7</f>
        <v>56.903225806451616</v>
      </c>
      <c r="E28" s="4">
        <f t="shared" si="7"/>
        <v>44.071428571428569</v>
      </c>
      <c r="F28" s="4">
        <f t="shared" si="7"/>
        <v>28.967741935483872</v>
      </c>
      <c r="G28" s="4">
        <f t="shared" si="7"/>
        <v>13</v>
      </c>
      <c r="H28" s="4">
        <f t="shared" si="7"/>
        <v>6.064516129032258</v>
      </c>
      <c r="I28" s="4">
        <f t="shared" si="7"/>
        <v>2.9333333333333331</v>
      </c>
      <c r="J28" s="4">
        <f t="shared" si="7"/>
        <v>0</v>
      </c>
      <c r="K28" s="4">
        <f t="shared" si="7"/>
        <v>0</v>
      </c>
      <c r="L28" s="4">
        <f t="shared" si="7"/>
        <v>4.166666666666667</v>
      </c>
      <c r="M28" s="4">
        <f t="shared" si="7"/>
        <v>10.806451612903226</v>
      </c>
      <c r="N28" s="4">
        <f t="shared" si="7"/>
        <v>27.133333333333333</v>
      </c>
      <c r="O28" s="4">
        <f t="shared" si="7"/>
        <v>45.774193548387096</v>
      </c>
      <c r="P28" s="4">
        <f t="shared" si="7"/>
        <v>19.876712328767123</v>
      </c>
      <c r="U28" s="34"/>
    </row>
    <row r="29" spans="1:26" ht="12" customHeight="1" x14ac:dyDescent="0.3">
      <c r="B29" s="47" t="s">
        <v>43</v>
      </c>
      <c r="C29" s="11" t="s">
        <v>5</v>
      </c>
      <c r="D29" s="4">
        <f t="shared" ref="D29:P29" si="8">D17/D7</f>
        <v>43.872387096774197</v>
      </c>
      <c r="E29" s="4">
        <f t="shared" si="8"/>
        <v>39.81742967457253</v>
      </c>
      <c r="F29" s="4">
        <f t="shared" si="8"/>
        <v>27.89486260454002</v>
      </c>
      <c r="G29" s="4">
        <f t="shared" si="8"/>
        <v>14.577836411609498</v>
      </c>
      <c r="H29" s="4">
        <f t="shared" si="8"/>
        <v>7.3521873619089702</v>
      </c>
      <c r="I29" s="4">
        <f t="shared" si="8"/>
        <v>2.9333333333333331</v>
      </c>
      <c r="J29" s="4">
        <f t="shared" si="8"/>
        <v>0</v>
      </c>
      <c r="K29" s="4">
        <f t="shared" si="8"/>
        <v>0</v>
      </c>
      <c r="L29" s="4">
        <f t="shared" si="8"/>
        <v>5.5194805194805197</v>
      </c>
      <c r="M29" s="4">
        <f t="shared" si="8"/>
        <v>10.779769016328157</v>
      </c>
      <c r="N29" s="4">
        <f t="shared" si="8"/>
        <v>25.417207977207976</v>
      </c>
      <c r="O29" s="4">
        <f t="shared" si="8"/>
        <v>35.222681227099649</v>
      </c>
      <c r="P29" s="4">
        <f t="shared" si="8"/>
        <v>17.663293930529179</v>
      </c>
      <c r="U29" s="34"/>
    </row>
    <row r="30" spans="1:26" ht="12" customHeight="1" x14ac:dyDescent="0.3">
      <c r="B30" s="47" t="s">
        <v>44</v>
      </c>
      <c r="C30" s="47" t="s">
        <v>45</v>
      </c>
      <c r="D30" s="4">
        <f t="shared" ref="D30:P30" si="9">D16/$F$4</f>
        <v>6.3636363636363642</v>
      </c>
      <c r="E30" s="4">
        <f t="shared" si="9"/>
        <v>4.4516594516594514</v>
      </c>
      <c r="F30" s="4">
        <f t="shared" si="9"/>
        <v>3.2395382395382395</v>
      </c>
      <c r="G30" s="4">
        <f t="shared" si="9"/>
        <v>1.4069264069264069</v>
      </c>
      <c r="H30" s="4">
        <f t="shared" si="9"/>
        <v>0.67821067821067826</v>
      </c>
      <c r="I30" s="4">
        <f t="shared" si="9"/>
        <v>0.3174603174603175</v>
      </c>
      <c r="J30" s="4">
        <f t="shared" si="9"/>
        <v>0</v>
      </c>
      <c r="K30" s="4">
        <f t="shared" si="9"/>
        <v>0</v>
      </c>
      <c r="L30" s="4">
        <f t="shared" si="9"/>
        <v>0.45093795093795097</v>
      </c>
      <c r="M30" s="4">
        <f t="shared" si="9"/>
        <v>1.2085137085137085</v>
      </c>
      <c r="N30" s="4">
        <f t="shared" si="9"/>
        <v>2.9365079365079367</v>
      </c>
      <c r="O30" s="4">
        <f t="shared" si="9"/>
        <v>5.1190476190476195</v>
      </c>
      <c r="P30" s="4">
        <f t="shared" si="9"/>
        <v>26.172438672438673</v>
      </c>
      <c r="U30" s="34"/>
    </row>
    <row r="31" spans="1:26" ht="12" customHeight="1" x14ac:dyDescent="0.3">
      <c r="B31" s="47" t="s">
        <v>44</v>
      </c>
      <c r="C31" s="47" t="s">
        <v>46</v>
      </c>
      <c r="D31" s="4">
        <f t="shared" ref="D31:P31" si="10">D16/$F$3</f>
        <v>16.036363636363635</v>
      </c>
      <c r="E31" s="4">
        <f t="shared" si="10"/>
        <v>11.218181818181819</v>
      </c>
      <c r="F31" s="4">
        <f t="shared" si="10"/>
        <v>8.163636363636364</v>
      </c>
      <c r="G31" s="4">
        <f t="shared" si="10"/>
        <v>3.5454545454545454</v>
      </c>
      <c r="H31" s="4">
        <f t="shared" si="10"/>
        <v>1.709090909090909</v>
      </c>
      <c r="I31" s="4">
        <f t="shared" si="10"/>
        <v>0.8</v>
      </c>
      <c r="J31" s="4">
        <f t="shared" si="10"/>
        <v>0</v>
      </c>
      <c r="K31" s="4">
        <f t="shared" si="10"/>
        <v>0</v>
      </c>
      <c r="L31" s="4">
        <f t="shared" si="10"/>
        <v>1.1363636363636365</v>
      </c>
      <c r="M31" s="4">
        <f t="shared" si="10"/>
        <v>3.0454545454545454</v>
      </c>
      <c r="N31" s="4">
        <f t="shared" si="10"/>
        <v>7.4</v>
      </c>
      <c r="O31" s="4">
        <f t="shared" si="10"/>
        <v>12.9</v>
      </c>
      <c r="P31" s="4">
        <f t="shared" si="10"/>
        <v>65.954545454545453</v>
      </c>
      <c r="U31" s="34"/>
    </row>
    <row r="32" spans="1:26" ht="12" customHeight="1" x14ac:dyDescent="0.3">
      <c r="B32" s="47" t="s">
        <v>47</v>
      </c>
      <c r="C32" s="47" t="s">
        <v>45</v>
      </c>
      <c r="D32" s="4">
        <f t="shared" ref="D32:P32" si="11">D17/$F$4</f>
        <v>4.9063636363636371</v>
      </c>
      <c r="E32" s="4">
        <f t="shared" si="11"/>
        <v>4.0219625933911649</v>
      </c>
      <c r="F32" s="4">
        <f t="shared" si="11"/>
        <v>3.1195553417775637</v>
      </c>
      <c r="G32" s="4">
        <f t="shared" si="11"/>
        <v>1.5776879233343613</v>
      </c>
      <c r="H32" s="4">
        <f t="shared" si="11"/>
        <v>0.82221431536500034</v>
      </c>
      <c r="I32" s="4">
        <f t="shared" si="11"/>
        <v>0.3174603174603175</v>
      </c>
      <c r="J32" s="4">
        <f t="shared" si="11"/>
        <v>0</v>
      </c>
      <c r="K32" s="4">
        <f t="shared" si="11"/>
        <v>0</v>
      </c>
      <c r="L32" s="4">
        <f t="shared" si="11"/>
        <v>0.59734637656715583</v>
      </c>
      <c r="M32" s="4">
        <f t="shared" si="11"/>
        <v>1.2055297240482428</v>
      </c>
      <c r="N32" s="4">
        <f t="shared" si="11"/>
        <v>2.7507800841134173</v>
      </c>
      <c r="O32" s="4">
        <f t="shared" si="11"/>
        <v>3.9390444373740592</v>
      </c>
      <c r="P32" s="4">
        <f t="shared" si="11"/>
        <v>23.257944749794916</v>
      </c>
    </row>
    <row r="33" spans="1:16" ht="12" customHeight="1" x14ac:dyDescent="0.3">
      <c r="B33" s="47" t="s">
        <v>47</v>
      </c>
      <c r="C33" s="47" t="s">
        <v>46</v>
      </c>
      <c r="D33" s="4">
        <f t="shared" ref="D33:P33" si="12">D17/$F$3</f>
        <v>12.364036363636364</v>
      </c>
      <c r="E33" s="4">
        <f t="shared" si="12"/>
        <v>10.135345735345735</v>
      </c>
      <c r="F33" s="4">
        <f t="shared" si="12"/>
        <v>7.8612794612794605</v>
      </c>
      <c r="G33" s="4">
        <f t="shared" si="12"/>
        <v>3.9757735668025904</v>
      </c>
      <c r="H33" s="4">
        <f t="shared" si="12"/>
        <v>2.0719800747198009</v>
      </c>
      <c r="I33" s="4">
        <f t="shared" si="12"/>
        <v>0.8</v>
      </c>
      <c r="J33" s="4">
        <f t="shared" si="12"/>
        <v>0</v>
      </c>
      <c r="K33" s="4">
        <f t="shared" si="12"/>
        <v>0</v>
      </c>
      <c r="L33" s="4">
        <f t="shared" si="12"/>
        <v>1.5053128689492326</v>
      </c>
      <c r="M33" s="4">
        <f t="shared" si="12"/>
        <v>3.0379349046015713</v>
      </c>
      <c r="N33" s="4">
        <f t="shared" si="12"/>
        <v>6.9319658119658119</v>
      </c>
      <c r="O33" s="4">
        <f t="shared" si="12"/>
        <v>9.9263919821826274</v>
      </c>
      <c r="P33" s="4">
        <f t="shared" si="12"/>
        <v>58.610020769483185</v>
      </c>
    </row>
    <row r="34" spans="1:16" ht="12" customHeight="1" x14ac:dyDescent="0.3">
      <c r="B34" s="47" t="s">
        <v>44</v>
      </c>
      <c r="C34" s="47" t="s">
        <v>48</v>
      </c>
      <c r="D34" s="4">
        <f t="shared" ref="D34:P34" si="13">1000*D30/D13</f>
        <v>6.3636363636363642</v>
      </c>
      <c r="E34" s="4">
        <f t="shared" si="13"/>
        <v>5.7292914435771571</v>
      </c>
      <c r="F34" s="4">
        <f t="shared" si="13"/>
        <v>4.9992874066948136</v>
      </c>
      <c r="G34" s="4">
        <f t="shared" si="13"/>
        <v>3.7122068784337916</v>
      </c>
      <c r="H34" s="4">
        <f t="shared" si="13"/>
        <v>4.6452786178813579</v>
      </c>
      <c r="I34" s="4">
        <f t="shared" si="13"/>
        <v>45.351473922902507</v>
      </c>
      <c r="J34" s="4" t="e">
        <f t="shared" si="13"/>
        <v>#DIV/0!</v>
      </c>
      <c r="K34" s="4">
        <f t="shared" si="13"/>
        <v>0</v>
      </c>
      <c r="L34" s="4">
        <f t="shared" si="13"/>
        <v>2.9281685125840973</v>
      </c>
      <c r="M34" s="4">
        <f t="shared" si="13"/>
        <v>2.9839844654659466</v>
      </c>
      <c r="N34" s="4">
        <f t="shared" si="13"/>
        <v>5.0196716863383539</v>
      </c>
      <c r="O34" s="4">
        <f t="shared" si="13"/>
        <v>5.7004984621911126</v>
      </c>
      <c r="P34" s="4">
        <f t="shared" si="13"/>
        <v>5.1929441810394197</v>
      </c>
    </row>
    <row r="35" spans="1:16" ht="12" customHeight="1" x14ac:dyDescent="0.25">
      <c r="D35" s="36"/>
      <c r="E35" s="36"/>
      <c r="F35" s="36"/>
      <c r="G35" s="36"/>
      <c r="H35" s="4"/>
      <c r="I35" s="4"/>
      <c r="J35" s="4"/>
      <c r="K35" s="4"/>
      <c r="L35" s="4"/>
      <c r="M35" s="4"/>
      <c r="N35" s="4"/>
      <c r="O35" s="4"/>
      <c r="P35" s="4"/>
    </row>
    <row r="36" spans="1:16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2" customHeight="1" x14ac:dyDescent="0.3">
      <c r="B38" s="47" t="s">
        <v>50</v>
      </c>
      <c r="D38" s="13">
        <f>4400*1.3</f>
        <v>5720</v>
      </c>
      <c r="E38" s="11" t="s">
        <v>26</v>
      </c>
      <c r="F38" s="51">
        <f>D38/$D$40</f>
        <v>0.56633663366336628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</row>
    <row r="39" spans="1:16" ht="12" customHeight="1" x14ac:dyDescent="0.25">
      <c r="B39" s="53" t="s">
        <v>53</v>
      </c>
      <c r="C39" s="53"/>
      <c r="D39" s="54">
        <f>K3*365</f>
        <v>4380</v>
      </c>
      <c r="E39" s="55" t="s">
        <v>26</v>
      </c>
      <c r="F39" s="51">
        <f>D39/$D$40</f>
        <v>0.43366336633663366</v>
      </c>
      <c r="G39" s="11" t="s">
        <v>54</v>
      </c>
      <c r="H39" s="4"/>
      <c r="I39" s="4"/>
      <c r="J39" s="4"/>
      <c r="K39" s="4">
        <f>K38-D38</f>
        <v>2846</v>
      </c>
      <c r="L39" s="11" t="s">
        <v>26</v>
      </c>
      <c r="M39" s="4"/>
      <c r="N39" s="13">
        <f>'2007'!I36</f>
        <v>14540</v>
      </c>
      <c r="O39" s="11" t="s">
        <v>26</v>
      </c>
      <c r="P39" s="4"/>
    </row>
    <row r="40" spans="1:16" ht="12" customHeight="1" x14ac:dyDescent="0.3">
      <c r="B40" s="47" t="s">
        <v>22</v>
      </c>
      <c r="D40" s="13">
        <f>SUM(D38:D39)</f>
        <v>10100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0.33224375437777259</v>
      </c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0.21983624285493589</v>
      </c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2" customHeight="1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ht="12" customHeight="1" x14ac:dyDescent="0.2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2" customHeight="1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2" customHeight="1" x14ac:dyDescent="0.2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ht="12" customHeigh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ht="12" customHeight="1" x14ac:dyDescent="0.2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ht="12" customHeight="1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ht="12" customHeight="1" x14ac:dyDescent="0.2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ht="12" customHeight="1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2" customHeight="1" x14ac:dyDescent="0.2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2" customHeight="1" x14ac:dyDescent="0.2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ht="12" customHeight="1" x14ac:dyDescent="0.2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ht="12" customHeight="1" x14ac:dyDescent="0.3">
      <c r="A63" s="47" t="s">
        <v>70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ht="12" customHeight="1" x14ac:dyDescent="0.2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ht="12" customHeight="1" x14ac:dyDescent="0.3">
      <c r="A65" s="48">
        <v>39807</v>
      </c>
      <c r="B65" s="47">
        <v>201.88659999999999</v>
      </c>
      <c r="D65" s="4"/>
      <c r="E65" s="4" t="s">
        <v>71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2" customHeight="1" x14ac:dyDescent="0.3">
      <c r="A66" s="48">
        <v>39836</v>
      </c>
      <c r="B66" s="47">
        <v>205.4554</v>
      </c>
      <c r="C66" s="47">
        <f t="shared" ref="C66:C72" si="14">B66-B65</f>
        <v>3.5688000000000102</v>
      </c>
      <c r="D66" s="4">
        <f>C66/29*30</f>
        <v>3.6918620689655279</v>
      </c>
      <c r="E66" s="4" t="s">
        <v>72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2" customHeight="1" x14ac:dyDescent="0.3">
      <c r="A67" s="48">
        <v>39890</v>
      </c>
      <c r="B67" s="47">
        <v>212.04820000000001</v>
      </c>
      <c r="C67" s="47">
        <f t="shared" si="14"/>
        <v>6.5928000000000111</v>
      </c>
      <c r="D67" s="4">
        <f>C67/52*28</f>
        <v>3.549969230769237</v>
      </c>
      <c r="E67" s="4" t="s">
        <v>73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2" customHeight="1" x14ac:dyDescent="0.3">
      <c r="A68" s="48">
        <v>39900</v>
      </c>
      <c r="B68" s="47">
        <v>213.6026</v>
      </c>
      <c r="C68" s="47">
        <f t="shared" si="14"/>
        <v>1.5543999999999869</v>
      </c>
      <c r="D68" s="4">
        <f>C68/10*31</f>
        <v>4.8186399999999594</v>
      </c>
      <c r="E68" s="4" t="s">
        <v>74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3">
      <c r="A69" s="56">
        <v>39941</v>
      </c>
      <c r="B69" s="47">
        <v>219</v>
      </c>
      <c r="C69" s="47">
        <f t="shared" si="14"/>
        <v>5.3974000000000046</v>
      </c>
      <c r="D69" s="4">
        <f>C69/(3+30+9)*30</f>
        <v>3.8552857142857171</v>
      </c>
      <c r="E69" s="4" t="s">
        <v>75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12" customHeight="1" x14ac:dyDescent="0.3">
      <c r="A70" s="56">
        <v>39969</v>
      </c>
      <c r="B70" s="47">
        <v>222.91</v>
      </c>
      <c r="C70" s="47">
        <f t="shared" si="14"/>
        <v>3.9099999999999966</v>
      </c>
      <c r="D70" s="4">
        <f>C70/(27)*30</f>
        <v>4.3444444444444414</v>
      </c>
      <c r="E70" s="4" t="s">
        <v>76</v>
      </c>
      <c r="F70" s="4"/>
      <c r="H70" s="4"/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3">
      <c r="A71" s="56">
        <v>39999</v>
      </c>
      <c r="B71" s="47">
        <v>226.892</v>
      </c>
      <c r="C71" s="47">
        <f t="shared" si="14"/>
        <v>3.9819999999999993</v>
      </c>
      <c r="D71" s="4">
        <f>C71/(30)*30</f>
        <v>3.9819999999999993</v>
      </c>
      <c r="E71" s="4" t="s">
        <v>77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3">
      <c r="A72" s="48">
        <v>40020</v>
      </c>
      <c r="B72" s="47">
        <v>229.57490000000001</v>
      </c>
      <c r="C72" s="47">
        <f t="shared" si="14"/>
        <v>2.6829000000000178</v>
      </c>
      <c r="D72" s="4">
        <f>C72/(21)*31</f>
        <v>3.9604714285714548</v>
      </c>
      <c r="E72" s="4" t="s">
        <v>78</v>
      </c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3">
      <c r="A73" s="48">
        <v>40173</v>
      </c>
      <c r="B73" s="47">
        <v>250.04400000000001</v>
      </c>
      <c r="C73" s="47">
        <f>B73-B65</f>
        <v>48.157400000000024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3">
      <c r="A74" s="48">
        <v>40370</v>
      </c>
      <c r="B74" s="47">
        <v>276.20999999999998</v>
      </c>
      <c r="C74" s="47">
        <f>B74-B71</f>
        <v>49.317999999999984</v>
      </c>
      <c r="D74" s="4"/>
      <c r="E74" s="4" t="s">
        <v>79</v>
      </c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25">
      <c r="A75" s="4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3">
      <c r="A76" s="47" t="s">
        <v>80</v>
      </c>
      <c r="C76" s="47">
        <f>48</f>
        <v>48</v>
      </c>
      <c r="D76" s="4" t="s">
        <v>81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3">
      <c r="A78" s="56">
        <v>40306</v>
      </c>
      <c r="B78" s="47">
        <v>267.7</v>
      </c>
      <c r="C78" s="47">
        <f>B78-B73</f>
        <v>17.655999999999977</v>
      </c>
      <c r="D78" s="4">
        <f>C78/E78</f>
        <v>0.13275187969924795</v>
      </c>
      <c r="E78" s="4">
        <f>A78-A73</f>
        <v>133</v>
      </c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4:16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4:16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4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4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4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4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4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4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4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4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4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4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4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4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4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4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>
      <selection activeCell="P11" sqref="P11:P17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1.5546875" customWidth="1"/>
    <col min="21" max="26" width="8.6640625" customWidth="1"/>
  </cols>
  <sheetData>
    <row r="1" spans="1:26" ht="12" customHeight="1" x14ac:dyDescent="0.3">
      <c r="A1" s="2" t="s">
        <v>0</v>
      </c>
      <c r="D1" s="3">
        <v>2009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26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</row>
    <row r="3" spans="1:26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12.5</v>
      </c>
      <c r="L3" s="11" t="s">
        <v>5</v>
      </c>
      <c r="M3" s="4"/>
      <c r="N3" s="4"/>
      <c r="O3" s="4"/>
      <c r="P3" s="4"/>
      <c r="Q3" s="8"/>
    </row>
    <row r="4" spans="1:26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/>
      <c r="I4" s="4"/>
      <c r="J4" s="4"/>
      <c r="K4" s="4"/>
      <c r="L4" s="11"/>
      <c r="M4" s="11"/>
      <c r="N4" s="4"/>
      <c r="O4" s="4"/>
      <c r="P4" s="4"/>
    </row>
    <row r="5" spans="1:26" ht="12" customHeight="1" x14ac:dyDescent="0.25">
      <c r="D5" s="13"/>
      <c r="E5" s="13"/>
      <c r="F5" s="13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6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2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 x14ac:dyDescent="0.25">
      <c r="A8" s="25">
        <v>2009</v>
      </c>
      <c r="B8" s="26" t="s">
        <v>23</v>
      </c>
      <c r="C8" s="30" t="s">
        <v>65</v>
      </c>
      <c r="D8" s="28">
        <v>-5.5</v>
      </c>
      <c r="E8" s="28">
        <v>-6.6</v>
      </c>
      <c r="F8" s="28">
        <v>-3.1</v>
      </c>
      <c r="G8" s="28">
        <v>2.9</v>
      </c>
      <c r="H8" s="28">
        <v>10.9</v>
      </c>
      <c r="I8" s="28">
        <v>13.3</v>
      </c>
      <c r="J8" s="28">
        <v>16.7</v>
      </c>
      <c r="K8" s="28">
        <v>14.9</v>
      </c>
      <c r="L8" s="28">
        <v>11.4</v>
      </c>
      <c r="M8" s="28">
        <v>2</v>
      </c>
      <c r="N8" s="28">
        <v>0.6</v>
      </c>
      <c r="O8" s="28">
        <v>-8.1</v>
      </c>
      <c r="P8" s="28">
        <f>AVERAGE(D8:O8)</f>
        <v>4.1166666666666663</v>
      </c>
    </row>
    <row r="9" spans="1:26" ht="12" customHeight="1" x14ac:dyDescent="0.25">
      <c r="A9" s="25">
        <v>2009</v>
      </c>
      <c r="B9" s="26" t="s">
        <v>67</v>
      </c>
      <c r="C9" s="30" t="s">
        <v>26</v>
      </c>
      <c r="D9" s="32">
        <f>(13889-13148)</f>
        <v>741</v>
      </c>
      <c r="E9" s="32">
        <f>(14527-13889)</f>
        <v>638</v>
      </c>
      <c r="F9" s="32">
        <f>(15110-14527)</f>
        <v>583</v>
      </c>
      <c r="G9" s="32">
        <f>(15523-15110)</f>
        <v>413</v>
      </c>
      <c r="H9" s="32">
        <f>(15787-15523)</f>
        <v>264</v>
      </c>
      <c r="I9" s="32">
        <f>(16039-15787)</f>
        <v>252</v>
      </c>
      <c r="J9" s="32">
        <f>(16249-16039)</f>
        <v>210</v>
      </c>
      <c r="K9" s="32">
        <f>(16474-16249)</f>
        <v>225</v>
      </c>
      <c r="L9" s="32">
        <f>(16750-16474)</f>
        <v>276</v>
      </c>
      <c r="M9" s="32">
        <f>(17195-16750)</f>
        <v>445</v>
      </c>
      <c r="N9" s="32">
        <f>(17650-17195)</f>
        <v>455</v>
      </c>
      <c r="O9" s="32">
        <f>(18489-17650)/30*31</f>
        <v>866.96666666666658</v>
      </c>
      <c r="P9" s="32">
        <f t="shared" ref="P9:P17" si="0">SUM(D9:O9)</f>
        <v>5368.9666666666662</v>
      </c>
      <c r="Q9" s="34"/>
      <c r="R9" s="35">
        <f>P9/$P$11</f>
        <v>0.52415276575527014</v>
      </c>
      <c r="S9" s="35"/>
      <c r="T9" s="42"/>
    </row>
    <row r="10" spans="1:26" ht="12" customHeight="1" x14ac:dyDescent="0.25">
      <c r="A10" s="25">
        <v>2009</v>
      </c>
      <c r="B10" s="26" t="s">
        <v>68</v>
      </c>
      <c r="C10" s="30" t="s">
        <v>26</v>
      </c>
      <c r="D10" s="32">
        <f>(12049-11356)</f>
        <v>693</v>
      </c>
      <c r="E10" s="32">
        <f>(12671-12049)</f>
        <v>622</v>
      </c>
      <c r="F10" s="32">
        <f>(13227-12671)</f>
        <v>556</v>
      </c>
      <c r="G10" s="32">
        <f>(13649-13227)</f>
        <v>422</v>
      </c>
      <c r="H10" s="32">
        <f>(13905-13649)</f>
        <v>256</v>
      </c>
      <c r="I10" s="32">
        <f>(14102-13905)</f>
        <v>197</v>
      </c>
      <c r="J10" s="32">
        <f>(14289-14102)</f>
        <v>187</v>
      </c>
      <c r="K10" s="32">
        <f>(14456-14289)</f>
        <v>167</v>
      </c>
      <c r="L10" s="32">
        <f>(14650-14456)</f>
        <v>194</v>
      </c>
      <c r="M10" s="32">
        <f>(15040-14650)</f>
        <v>390</v>
      </c>
      <c r="N10" s="32">
        <f>(15450-15040)</f>
        <v>410</v>
      </c>
      <c r="O10" s="32">
        <f>(16205-15450)/30*31</f>
        <v>780.16666666666674</v>
      </c>
      <c r="P10" s="32">
        <f t="shared" si="0"/>
        <v>4874.166666666667</v>
      </c>
      <c r="Q10" s="34"/>
      <c r="R10" s="35">
        <f>P10/$P$11</f>
        <v>0.47584723424472986</v>
      </c>
      <c r="S10" s="35"/>
      <c r="T10" s="42"/>
    </row>
    <row r="11" spans="1:26" ht="12" customHeight="1" x14ac:dyDescent="0.25">
      <c r="A11" s="25">
        <v>2009</v>
      </c>
      <c r="B11" s="26" t="s">
        <v>25</v>
      </c>
      <c r="C11" s="30" t="s">
        <v>26</v>
      </c>
      <c r="D11" s="32">
        <f t="shared" ref="D11:O11" si="1">SUM(D9:D10)</f>
        <v>1434</v>
      </c>
      <c r="E11" s="32">
        <f t="shared" si="1"/>
        <v>1260</v>
      </c>
      <c r="F11" s="32">
        <f t="shared" si="1"/>
        <v>1139</v>
      </c>
      <c r="G11" s="32">
        <f t="shared" si="1"/>
        <v>835</v>
      </c>
      <c r="H11" s="32">
        <f t="shared" si="1"/>
        <v>520</v>
      </c>
      <c r="I11" s="32">
        <f t="shared" si="1"/>
        <v>449</v>
      </c>
      <c r="J11" s="32">
        <f t="shared" si="1"/>
        <v>397</v>
      </c>
      <c r="K11" s="32">
        <f t="shared" si="1"/>
        <v>392</v>
      </c>
      <c r="L11" s="32">
        <f t="shared" si="1"/>
        <v>470</v>
      </c>
      <c r="M11" s="32">
        <f t="shared" si="1"/>
        <v>835</v>
      </c>
      <c r="N11" s="32">
        <f t="shared" si="1"/>
        <v>865</v>
      </c>
      <c r="O11" s="32">
        <f t="shared" si="1"/>
        <v>1647.1333333333332</v>
      </c>
      <c r="P11" s="33">
        <f t="shared" si="0"/>
        <v>10243.133333333333</v>
      </c>
      <c r="Q11" s="34"/>
      <c r="R11" s="34"/>
      <c r="S11" s="35"/>
      <c r="T11" s="36"/>
    </row>
    <row r="12" spans="1:26" ht="12" customHeight="1" x14ac:dyDescent="0.25">
      <c r="A12" s="25">
        <v>2009</v>
      </c>
      <c r="B12" s="26" t="s">
        <v>69</v>
      </c>
      <c r="C12" s="30" t="s">
        <v>26</v>
      </c>
      <c r="D12" s="32">
        <f>(341.14-74+100)</f>
        <v>367.14</v>
      </c>
      <c r="E12" s="32">
        <f>(475-100)/29*28</f>
        <v>362.06896551724139</v>
      </c>
      <c r="F12" s="32">
        <f>(766.43-475)/28*31</f>
        <v>322.65464285714279</v>
      </c>
      <c r="G12" s="32">
        <f>(1060-766.43)</f>
        <v>293.57000000000005</v>
      </c>
      <c r="H12" s="43">
        <f>(1083.88-1060)/9*31</f>
        <v>82.2533333333337</v>
      </c>
      <c r="I12" s="32">
        <f>49.48-1.94</f>
        <v>47.54</v>
      </c>
      <c r="J12" s="43">
        <f>3.21/21*31</f>
        <v>4.7385714285714284</v>
      </c>
      <c r="K12" s="43">
        <f>3.48/5*31</f>
        <v>21.575999999999997</v>
      </c>
      <c r="L12" s="43">
        <f>19/19*30</f>
        <v>30</v>
      </c>
      <c r="M12" s="32">
        <f>(68.47-2.47)+195</f>
        <v>261</v>
      </c>
      <c r="N12" s="32">
        <f>(465-195)</f>
        <v>270</v>
      </c>
      <c r="O12" s="32">
        <f>(772.67-465)/30*31</f>
        <v>317.92566666666659</v>
      </c>
      <c r="P12" s="32">
        <f t="shared" si="0"/>
        <v>2380.4671798029563</v>
      </c>
      <c r="Q12" s="34"/>
      <c r="R12" s="35"/>
      <c r="S12" s="35"/>
      <c r="T12" s="36"/>
    </row>
    <row r="13" spans="1:26" ht="12" customHeight="1" x14ac:dyDescent="0.25">
      <c r="A13" s="25">
        <v>2009</v>
      </c>
      <c r="B13" s="40" t="s">
        <v>29</v>
      </c>
      <c r="C13" s="30" t="s">
        <v>66</v>
      </c>
      <c r="D13" s="32">
        <v>709</v>
      </c>
      <c r="E13" s="32">
        <v>672</v>
      </c>
      <c r="F13" s="32">
        <v>610</v>
      </c>
      <c r="G13" s="32">
        <v>409</v>
      </c>
      <c r="H13" s="32">
        <v>103</v>
      </c>
      <c r="I13" s="32">
        <v>49</v>
      </c>
      <c r="J13" s="32">
        <v>14</v>
      </c>
      <c r="K13" s="32">
        <v>0</v>
      </c>
      <c r="L13" s="32">
        <v>117</v>
      </c>
      <c r="M13" s="32">
        <v>460</v>
      </c>
      <c r="N13" s="32">
        <v>491</v>
      </c>
      <c r="O13" s="32">
        <v>771</v>
      </c>
      <c r="P13" s="32">
        <f t="shared" si="0"/>
        <v>4405</v>
      </c>
      <c r="Q13" s="42"/>
      <c r="R13" s="36"/>
      <c r="S13" s="35"/>
      <c r="T13" s="42"/>
      <c r="U13" s="35"/>
      <c r="V13" s="35"/>
    </row>
    <row r="14" spans="1:26" ht="12" customHeight="1" x14ac:dyDescent="0.25">
      <c r="A14" s="25">
        <v>2009</v>
      </c>
      <c r="B14" s="40" t="s">
        <v>31</v>
      </c>
      <c r="C14" s="30" t="s">
        <v>66</v>
      </c>
      <c r="D14" s="32">
        <v>771</v>
      </c>
      <c r="E14" s="32">
        <v>702</v>
      </c>
      <c r="F14" s="32">
        <v>624</v>
      </c>
      <c r="G14" s="32">
        <v>425</v>
      </c>
      <c r="H14" s="32">
        <v>177</v>
      </c>
      <c r="I14" s="32">
        <v>26</v>
      </c>
      <c r="J14" s="32">
        <v>6</v>
      </c>
      <c r="K14" s="32">
        <v>34</v>
      </c>
      <c r="L14" s="32">
        <v>204</v>
      </c>
      <c r="M14" s="32">
        <v>404</v>
      </c>
      <c r="N14" s="32">
        <v>548</v>
      </c>
      <c r="O14" s="32">
        <v>691</v>
      </c>
      <c r="P14" s="32">
        <f t="shared" si="0"/>
        <v>4612</v>
      </c>
      <c r="R14" s="35"/>
      <c r="T14" s="34"/>
      <c r="U14" s="34"/>
      <c r="V14" s="34"/>
    </row>
    <row r="15" spans="1:26" ht="12" customHeight="1" x14ac:dyDescent="0.25">
      <c r="A15" s="25">
        <v>2009</v>
      </c>
      <c r="B15" s="26" t="s">
        <v>32</v>
      </c>
      <c r="C15" s="30" t="s">
        <v>26</v>
      </c>
      <c r="D15" s="32">
        <f t="shared" ref="D15:O15" si="2">$K$3*D7</f>
        <v>387.5</v>
      </c>
      <c r="E15" s="32">
        <f t="shared" si="2"/>
        <v>350</v>
      </c>
      <c r="F15" s="32">
        <f t="shared" si="2"/>
        <v>387.5</v>
      </c>
      <c r="G15" s="32">
        <f t="shared" si="2"/>
        <v>375</v>
      </c>
      <c r="H15" s="32">
        <f t="shared" si="2"/>
        <v>387.5</v>
      </c>
      <c r="I15" s="32">
        <f t="shared" si="2"/>
        <v>375</v>
      </c>
      <c r="J15" s="32">
        <f t="shared" si="2"/>
        <v>387.5</v>
      </c>
      <c r="K15" s="32">
        <f t="shared" si="2"/>
        <v>387.5</v>
      </c>
      <c r="L15" s="32">
        <f t="shared" si="2"/>
        <v>375</v>
      </c>
      <c r="M15" s="32">
        <f t="shared" si="2"/>
        <v>387.5</v>
      </c>
      <c r="N15" s="32">
        <f t="shared" si="2"/>
        <v>375</v>
      </c>
      <c r="O15" s="32">
        <f t="shared" si="2"/>
        <v>387.5</v>
      </c>
      <c r="P15" s="32">
        <f t="shared" si="0"/>
        <v>4562.5</v>
      </c>
    </row>
    <row r="16" spans="1:26" ht="12" customHeight="1" x14ac:dyDescent="0.25">
      <c r="A16" s="25">
        <v>2009</v>
      </c>
      <c r="B16" s="26" t="s">
        <v>33</v>
      </c>
      <c r="C16" s="30" t="s">
        <v>26</v>
      </c>
      <c r="D16" s="32">
        <f t="shared" ref="D16:I16" si="3">D11-D15</f>
        <v>1046.5</v>
      </c>
      <c r="E16" s="32">
        <f t="shared" si="3"/>
        <v>910</v>
      </c>
      <c r="F16" s="32">
        <f t="shared" si="3"/>
        <v>751.5</v>
      </c>
      <c r="G16" s="32">
        <f t="shared" si="3"/>
        <v>460</v>
      </c>
      <c r="H16" s="32">
        <f t="shared" si="3"/>
        <v>132.5</v>
      </c>
      <c r="I16" s="32">
        <f t="shared" si="3"/>
        <v>74</v>
      </c>
      <c r="J16" s="32">
        <v>5</v>
      </c>
      <c r="K16" s="32">
        <v>22</v>
      </c>
      <c r="L16" s="32">
        <f>L11-L15</f>
        <v>95</v>
      </c>
      <c r="M16" s="32">
        <f>M11-M15</f>
        <v>447.5</v>
      </c>
      <c r="N16" s="32">
        <f>N11-N15</f>
        <v>490</v>
      </c>
      <c r="O16" s="32">
        <f>O11-O15</f>
        <v>1259.6333333333332</v>
      </c>
      <c r="P16" s="32">
        <f t="shared" si="0"/>
        <v>5693.6333333333332</v>
      </c>
      <c r="R16" s="35"/>
      <c r="T16" s="36"/>
    </row>
    <row r="17" spans="1:26" ht="12" customHeight="1" x14ac:dyDescent="0.25">
      <c r="A17" s="25">
        <v>2009</v>
      </c>
      <c r="B17" s="26" t="s">
        <v>34</v>
      </c>
      <c r="C17" s="30" t="s">
        <v>26</v>
      </c>
      <c r="D17" s="32">
        <f>IF(D16&lt;0,0,((D14/D13))*D16)</f>
        <v>1138.0133991537377</v>
      </c>
      <c r="E17" s="32">
        <f>IF(E16&lt;0,0,((E14/E13))*E16)</f>
        <v>950.62500000000011</v>
      </c>
      <c r="F17" s="32">
        <f>IF(F16&lt;0,0,((F14/F13))*F16)</f>
        <v>768.74754098360654</v>
      </c>
      <c r="G17" s="32">
        <f>IF(G16&lt;0,0,((G14/G13))*G16)</f>
        <v>477.99511002444984</v>
      </c>
      <c r="H17" s="32">
        <f>IF(H16&lt;0,0,((H14/H13))*H16)</f>
        <v>227.69417475728153</v>
      </c>
      <c r="I17" s="43">
        <f>I16</f>
        <v>74</v>
      </c>
      <c r="J17" s="43">
        <f>J16</f>
        <v>5</v>
      </c>
      <c r="K17" s="43">
        <f>K16</f>
        <v>22</v>
      </c>
      <c r="L17" s="32">
        <f>IF(L16&lt;0,0,((L14/L13))*L16)</f>
        <v>165.64102564102564</v>
      </c>
      <c r="M17" s="32">
        <f>IF(M16&lt;0,0,((M14/M13))*M16)</f>
        <v>393.02173913043481</v>
      </c>
      <c r="N17" s="32">
        <f>IF(N16&lt;0,0,((N14/N13))*N16)</f>
        <v>546.88391038696534</v>
      </c>
      <c r="O17" s="32">
        <f>IF(O16&lt;0,0,((O14/O13))*O16)</f>
        <v>1128.9320795503675</v>
      </c>
      <c r="P17" s="33">
        <f t="shared" si="0"/>
        <v>5898.5539796278681</v>
      </c>
      <c r="Q17" s="44"/>
      <c r="R17" s="50"/>
      <c r="T17" s="42"/>
      <c r="U17" s="35"/>
    </row>
    <row r="18" spans="1:26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6" ht="12" customHeight="1" x14ac:dyDescent="0.25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26" ht="12" customHeight="1" x14ac:dyDescent="0.25">
      <c r="A20" s="9" t="s">
        <v>35</v>
      </c>
      <c r="B20" s="10"/>
      <c r="C20" s="9" t="s">
        <v>5</v>
      </c>
      <c r="D20" s="4">
        <f>D11/D7</f>
        <v>46.258064516129032</v>
      </c>
      <c r="E20" s="4">
        <f>E11/E7</f>
        <v>45</v>
      </c>
      <c r="F20" s="4">
        <f>F11/F7</f>
        <v>36.741935483870968</v>
      </c>
      <c r="G20" s="4">
        <f>G10/G7</f>
        <v>14.066666666666666</v>
      </c>
      <c r="H20" s="4">
        <f t="shared" ref="H20:O20" si="4">H11/H7</f>
        <v>16.774193548387096</v>
      </c>
      <c r="I20" s="4">
        <f t="shared" si="4"/>
        <v>14.966666666666667</v>
      </c>
      <c r="J20" s="4">
        <f t="shared" si="4"/>
        <v>12.806451612903226</v>
      </c>
      <c r="K20" s="4">
        <f t="shared" si="4"/>
        <v>12.64516129032258</v>
      </c>
      <c r="L20" s="4">
        <f t="shared" si="4"/>
        <v>15.666666666666666</v>
      </c>
      <c r="M20" s="4">
        <f t="shared" si="4"/>
        <v>26.93548387096774</v>
      </c>
      <c r="N20" s="4">
        <f t="shared" si="4"/>
        <v>28.833333333333332</v>
      </c>
      <c r="O20" s="4">
        <f t="shared" si="4"/>
        <v>53.133333333333333</v>
      </c>
      <c r="P20" s="4">
        <f>P10/365</f>
        <v>13.353881278538813</v>
      </c>
    </row>
    <row r="21" spans="1:26" ht="12" customHeight="1" x14ac:dyDescent="0.3">
      <c r="A21" s="10"/>
      <c r="B21" s="47" t="s">
        <v>36</v>
      </c>
      <c r="C21" s="11" t="s">
        <v>26</v>
      </c>
      <c r="D21" s="4">
        <f>SUM(D11)</f>
        <v>1434</v>
      </c>
      <c r="E21" s="4">
        <f>SUM($D$11:E11)</f>
        <v>2694</v>
      </c>
      <c r="F21" s="4">
        <f>SUM($D$11:F11)</f>
        <v>3833</v>
      </c>
      <c r="G21" s="4">
        <f>SUM($D$11:G11)</f>
        <v>4668</v>
      </c>
      <c r="H21" s="4">
        <f>SUM($D$11:H11)</f>
        <v>5188</v>
      </c>
      <c r="I21" s="4">
        <f>SUM($D$11:I11)</f>
        <v>5637</v>
      </c>
      <c r="J21" s="4">
        <f>SUM($D$11:J11)</f>
        <v>6034</v>
      </c>
      <c r="K21" s="4">
        <f>SUM($D$11:K11)</f>
        <v>6426</v>
      </c>
      <c r="L21" s="4">
        <f>SUM($D$11:L11)</f>
        <v>6896</v>
      </c>
      <c r="M21" s="4">
        <f>SUM($D$11:M11)</f>
        <v>7731</v>
      </c>
      <c r="N21" s="4">
        <f>SUM($D$11:N11)</f>
        <v>8596</v>
      </c>
      <c r="O21" s="4">
        <f>SUM($D$11:O11)</f>
        <v>10243.133333333333</v>
      </c>
      <c r="P21" s="4"/>
    </row>
    <row r="22" spans="1:26" ht="12" customHeight="1" x14ac:dyDescent="0.3">
      <c r="A22" s="10"/>
      <c r="B22" s="47" t="s">
        <v>37</v>
      </c>
      <c r="C22" s="11" t="s">
        <v>26</v>
      </c>
      <c r="D22" s="4">
        <f>SUM(D12)</f>
        <v>367.14</v>
      </c>
      <c r="E22" s="4">
        <f>SUM($D$12:E12)</f>
        <v>729.20896551724138</v>
      </c>
      <c r="F22" s="4">
        <f>SUM($D$12:F12)</f>
        <v>1051.8636083743841</v>
      </c>
      <c r="G22" s="4">
        <f>SUM($D$12:G12)</f>
        <v>1345.4336083743842</v>
      </c>
      <c r="H22" s="4">
        <f>SUM($D$12:H12)</f>
        <v>1427.686941707718</v>
      </c>
      <c r="I22" s="4">
        <f>SUM($D$12:I12)</f>
        <v>1475.226941707718</v>
      </c>
      <c r="J22" s="4">
        <f>SUM($D$12:J12)</f>
        <v>1479.9655131362895</v>
      </c>
      <c r="K22" s="4">
        <f>SUM($D$12:K12)</f>
        <v>1501.5415131362895</v>
      </c>
      <c r="L22" s="4">
        <f>SUM($D$12:L12)</f>
        <v>1531.5415131362895</v>
      </c>
      <c r="M22" s="4">
        <f>SUM($D$12:M12)</f>
        <v>1792.5415131362895</v>
      </c>
      <c r="N22" s="4">
        <f>SUM($D$12:N12)</f>
        <v>2062.5415131362897</v>
      </c>
      <c r="O22" s="4">
        <f>SUM($D$12:O12)</f>
        <v>2380.4671798029563</v>
      </c>
      <c r="P22" s="4"/>
      <c r="R22" s="36"/>
    </row>
    <row r="23" spans="1:26" ht="12" customHeight="1" x14ac:dyDescent="0.3">
      <c r="A23" s="10"/>
      <c r="B23" s="47" t="s">
        <v>38</v>
      </c>
      <c r="C23" s="11" t="s">
        <v>26</v>
      </c>
      <c r="D23" s="4">
        <f>SUM(D16)</f>
        <v>1046.5</v>
      </c>
      <c r="E23" s="4">
        <f>SUM($D$16:E16)</f>
        <v>1956.5</v>
      </c>
      <c r="F23" s="4">
        <f>SUM($D$16:F16)</f>
        <v>2708</v>
      </c>
      <c r="G23" s="4">
        <f>SUM($D$16:G16)</f>
        <v>3168</v>
      </c>
      <c r="H23" s="4">
        <f>SUM($D$16:H16)</f>
        <v>3300.5</v>
      </c>
      <c r="I23" s="4">
        <f>SUM($D$16:I16)</f>
        <v>3374.5</v>
      </c>
      <c r="J23" s="4">
        <f>SUM($D$16:J16)</f>
        <v>3379.5</v>
      </c>
      <c r="K23" s="4">
        <f>SUM($D$16:K16)</f>
        <v>3401.5</v>
      </c>
      <c r="L23" s="4">
        <f>SUM($D$16:L16)</f>
        <v>3496.5</v>
      </c>
      <c r="M23" s="4">
        <f>SUM($D$16:M16)</f>
        <v>3944</v>
      </c>
      <c r="N23" s="4">
        <f>SUM($D$16:N16)</f>
        <v>4434</v>
      </c>
      <c r="O23" s="4">
        <f>SUM($D$16:O16)</f>
        <v>5693.6333333333332</v>
      </c>
      <c r="P23" s="4"/>
    </row>
    <row r="24" spans="1:26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/>
    </row>
    <row r="25" spans="1:26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14"/>
      <c r="U25" s="34"/>
      <c r="V25" s="34"/>
    </row>
    <row r="26" spans="1:26" ht="12" customHeight="1" x14ac:dyDescent="0.25">
      <c r="A26" s="9"/>
      <c r="B26" s="9" t="s">
        <v>40</v>
      </c>
      <c r="C26" s="9"/>
      <c r="D26" s="51">
        <f t="shared" ref="D26:P26" si="5">D16/D11</f>
        <v>0.72977684797768483</v>
      </c>
      <c r="E26" s="51">
        <f t="shared" si="5"/>
        <v>0.72222222222222221</v>
      </c>
      <c r="F26" s="51">
        <f t="shared" si="5"/>
        <v>0.65978928884986832</v>
      </c>
      <c r="G26" s="51">
        <f t="shared" si="5"/>
        <v>0.55089820359281438</v>
      </c>
      <c r="H26" s="51">
        <f t="shared" si="5"/>
        <v>0.25480769230769229</v>
      </c>
      <c r="I26" s="51">
        <f t="shared" si="5"/>
        <v>0.16481069042316257</v>
      </c>
      <c r="J26" s="51">
        <f t="shared" si="5"/>
        <v>1.2594458438287154E-2</v>
      </c>
      <c r="K26" s="51">
        <f t="shared" si="5"/>
        <v>5.6122448979591837E-2</v>
      </c>
      <c r="L26" s="51">
        <f t="shared" si="5"/>
        <v>0.20212765957446807</v>
      </c>
      <c r="M26" s="51">
        <f t="shared" si="5"/>
        <v>0.5359281437125748</v>
      </c>
      <c r="N26" s="51">
        <f t="shared" si="5"/>
        <v>0.56647398843930641</v>
      </c>
      <c r="O26" s="51">
        <f t="shared" si="5"/>
        <v>0.76474278544542029</v>
      </c>
      <c r="P26" s="51">
        <f t="shared" si="5"/>
        <v>0.55584879626676731</v>
      </c>
      <c r="Q26" s="34"/>
      <c r="R26" s="34"/>
      <c r="S26" s="34"/>
      <c r="T26" s="34"/>
      <c r="U26" s="34"/>
      <c r="V26" s="34"/>
      <c r="W26" s="9"/>
      <c r="X26" s="9"/>
      <c r="Y26" s="9"/>
      <c r="Z26" s="9"/>
    </row>
    <row r="27" spans="1:26" ht="12" customHeight="1" x14ac:dyDescent="0.3">
      <c r="B27" s="47" t="s">
        <v>41</v>
      </c>
      <c r="C27" s="9" t="s">
        <v>42</v>
      </c>
      <c r="D27" s="4">
        <f t="shared" ref="D27:P27" si="6">D16/D13</f>
        <v>1.4760225669957687</v>
      </c>
      <c r="E27" s="4">
        <f t="shared" si="6"/>
        <v>1.3541666666666667</v>
      </c>
      <c r="F27" s="4">
        <f t="shared" si="6"/>
        <v>1.2319672131147541</v>
      </c>
      <c r="G27" s="4">
        <f t="shared" si="6"/>
        <v>1.1246943765281174</v>
      </c>
      <c r="H27" s="4">
        <f t="shared" si="6"/>
        <v>1.2864077669902914</v>
      </c>
      <c r="I27" s="4">
        <f t="shared" si="6"/>
        <v>1.510204081632653</v>
      </c>
      <c r="J27" s="4">
        <f t="shared" si="6"/>
        <v>0.35714285714285715</v>
      </c>
      <c r="K27" s="4" t="e">
        <f t="shared" si="6"/>
        <v>#DIV/0!</v>
      </c>
      <c r="L27" s="4">
        <f t="shared" si="6"/>
        <v>0.81196581196581197</v>
      </c>
      <c r="M27" s="4">
        <f t="shared" si="6"/>
        <v>0.97282608695652173</v>
      </c>
      <c r="N27" s="4">
        <f t="shared" si="6"/>
        <v>0.99796334012219956</v>
      </c>
      <c r="O27" s="4">
        <f t="shared" si="6"/>
        <v>1.6337656722870728</v>
      </c>
      <c r="P27" s="4">
        <f t="shared" si="6"/>
        <v>1.2925387816874763</v>
      </c>
      <c r="U27" s="34"/>
    </row>
    <row r="28" spans="1:26" ht="12" customHeight="1" x14ac:dyDescent="0.3">
      <c r="B28" s="47" t="s">
        <v>41</v>
      </c>
      <c r="C28" s="11" t="s">
        <v>5</v>
      </c>
      <c r="D28" s="4">
        <f t="shared" ref="D28:P28" si="7">D16/D7</f>
        <v>33.758064516129032</v>
      </c>
      <c r="E28" s="4">
        <f t="shared" si="7"/>
        <v>32.5</v>
      </c>
      <c r="F28" s="4">
        <f t="shared" si="7"/>
        <v>24.241935483870968</v>
      </c>
      <c r="G28" s="4">
        <f t="shared" si="7"/>
        <v>15.333333333333334</v>
      </c>
      <c r="H28" s="4">
        <f t="shared" si="7"/>
        <v>4.274193548387097</v>
      </c>
      <c r="I28" s="4">
        <f t="shared" si="7"/>
        <v>2.4666666666666668</v>
      </c>
      <c r="J28" s="4">
        <f t="shared" si="7"/>
        <v>0.16129032258064516</v>
      </c>
      <c r="K28" s="4">
        <f t="shared" si="7"/>
        <v>0.70967741935483875</v>
      </c>
      <c r="L28" s="4">
        <f t="shared" si="7"/>
        <v>3.1666666666666665</v>
      </c>
      <c r="M28" s="4">
        <f t="shared" si="7"/>
        <v>14.435483870967742</v>
      </c>
      <c r="N28" s="4">
        <f t="shared" si="7"/>
        <v>16.333333333333332</v>
      </c>
      <c r="O28" s="4">
        <f t="shared" si="7"/>
        <v>40.633333333333333</v>
      </c>
      <c r="P28" s="4">
        <f t="shared" si="7"/>
        <v>15.598995433789954</v>
      </c>
      <c r="U28" s="34"/>
    </row>
    <row r="29" spans="1:26" ht="12" customHeight="1" x14ac:dyDescent="0.3">
      <c r="B29" s="47" t="s">
        <v>43</v>
      </c>
      <c r="C29" s="11" t="s">
        <v>5</v>
      </c>
      <c r="D29" s="4">
        <f t="shared" ref="D29:P29" si="8">D17/D7</f>
        <v>36.710109650120572</v>
      </c>
      <c r="E29" s="4">
        <f t="shared" si="8"/>
        <v>33.950892857142861</v>
      </c>
      <c r="F29" s="4">
        <f t="shared" si="8"/>
        <v>24.798307773664728</v>
      </c>
      <c r="G29" s="4">
        <f t="shared" si="8"/>
        <v>15.933170334148327</v>
      </c>
      <c r="H29" s="4">
        <f t="shared" si="8"/>
        <v>7.3449733792671461</v>
      </c>
      <c r="I29" s="4">
        <f t="shared" si="8"/>
        <v>2.4666666666666668</v>
      </c>
      <c r="J29" s="4">
        <f t="shared" si="8"/>
        <v>0.16129032258064516</v>
      </c>
      <c r="K29" s="4">
        <f t="shared" si="8"/>
        <v>0.70967741935483875</v>
      </c>
      <c r="L29" s="4">
        <f t="shared" si="8"/>
        <v>5.5213675213675213</v>
      </c>
      <c r="M29" s="4">
        <f t="shared" si="8"/>
        <v>12.6781206171108</v>
      </c>
      <c r="N29" s="4">
        <f t="shared" si="8"/>
        <v>18.229463679565512</v>
      </c>
      <c r="O29" s="4">
        <f t="shared" si="8"/>
        <v>36.417163856463468</v>
      </c>
      <c r="P29" s="4">
        <f t="shared" si="8"/>
        <v>16.160421861994159</v>
      </c>
      <c r="U29" s="34"/>
    </row>
    <row r="30" spans="1:26" ht="12" customHeight="1" x14ac:dyDescent="0.3">
      <c r="B30" s="47" t="s">
        <v>44</v>
      </c>
      <c r="C30" s="47" t="s">
        <v>45</v>
      </c>
      <c r="D30" s="4">
        <f t="shared" ref="D30:P30" si="9">D16/$F$4</f>
        <v>3.7752525252525255</v>
      </c>
      <c r="E30" s="4">
        <f t="shared" si="9"/>
        <v>3.2828282828282829</v>
      </c>
      <c r="F30" s="4">
        <f t="shared" si="9"/>
        <v>2.7110389610389611</v>
      </c>
      <c r="G30" s="4">
        <f t="shared" si="9"/>
        <v>1.6594516594516595</v>
      </c>
      <c r="H30" s="4">
        <f t="shared" si="9"/>
        <v>0.47799422799422803</v>
      </c>
      <c r="I30" s="4">
        <f t="shared" si="9"/>
        <v>0.26695526695526695</v>
      </c>
      <c r="J30" s="4">
        <f t="shared" si="9"/>
        <v>1.803751803751804E-2</v>
      </c>
      <c r="K30" s="4">
        <f t="shared" si="9"/>
        <v>7.9365079365079375E-2</v>
      </c>
      <c r="L30" s="4">
        <f t="shared" si="9"/>
        <v>0.34271284271284275</v>
      </c>
      <c r="M30" s="4">
        <f t="shared" si="9"/>
        <v>1.6143578643578644</v>
      </c>
      <c r="N30" s="4">
        <f t="shared" si="9"/>
        <v>1.7676767676767677</v>
      </c>
      <c r="O30" s="4">
        <f t="shared" si="9"/>
        <v>4.5441317941317942</v>
      </c>
      <c r="P30" s="4">
        <f t="shared" si="9"/>
        <v>20.539802789802792</v>
      </c>
      <c r="U30" s="34"/>
    </row>
    <row r="31" spans="1:26" ht="12" customHeight="1" x14ac:dyDescent="0.3">
      <c r="B31" s="47" t="s">
        <v>44</v>
      </c>
      <c r="C31" s="47" t="s">
        <v>46</v>
      </c>
      <c r="D31" s="4">
        <f t="shared" ref="D31:P31" si="10">D16/$F$3</f>
        <v>9.5136363636363637</v>
      </c>
      <c r="E31" s="4">
        <f t="shared" si="10"/>
        <v>8.2727272727272734</v>
      </c>
      <c r="F31" s="4">
        <f t="shared" si="10"/>
        <v>6.831818181818182</v>
      </c>
      <c r="G31" s="4">
        <f t="shared" si="10"/>
        <v>4.1818181818181817</v>
      </c>
      <c r="H31" s="4">
        <f t="shared" si="10"/>
        <v>1.2045454545454546</v>
      </c>
      <c r="I31" s="4">
        <f t="shared" si="10"/>
        <v>0.67272727272727273</v>
      </c>
      <c r="J31" s="4">
        <f t="shared" si="10"/>
        <v>4.5454545454545456E-2</v>
      </c>
      <c r="K31" s="4">
        <f t="shared" si="10"/>
        <v>0.2</v>
      </c>
      <c r="L31" s="4">
        <f t="shared" si="10"/>
        <v>0.86363636363636365</v>
      </c>
      <c r="M31" s="4">
        <f t="shared" si="10"/>
        <v>4.0681818181818183</v>
      </c>
      <c r="N31" s="4">
        <f t="shared" si="10"/>
        <v>4.4545454545454541</v>
      </c>
      <c r="O31" s="4">
        <f t="shared" si="10"/>
        <v>11.451212121212119</v>
      </c>
      <c r="P31" s="4">
        <f t="shared" si="10"/>
        <v>51.760303030303028</v>
      </c>
      <c r="U31" s="34"/>
    </row>
    <row r="32" spans="1:26" ht="12" customHeight="1" x14ac:dyDescent="0.3">
      <c r="B32" s="47" t="s">
        <v>47</v>
      </c>
      <c r="C32" s="47" t="s">
        <v>45</v>
      </c>
      <c r="D32" s="4">
        <f t="shared" ref="D32:P32" si="11">D17/$F$4</f>
        <v>4.1053874428345516</v>
      </c>
      <c r="E32" s="4">
        <f t="shared" si="11"/>
        <v>3.4293831168831175</v>
      </c>
      <c r="F32" s="4">
        <f t="shared" si="11"/>
        <v>2.7732595273578879</v>
      </c>
      <c r="G32" s="4">
        <f t="shared" si="11"/>
        <v>1.7243690837822867</v>
      </c>
      <c r="H32" s="4">
        <f t="shared" si="11"/>
        <v>0.82140755684444999</v>
      </c>
      <c r="I32" s="4">
        <f t="shared" si="11"/>
        <v>0.26695526695526695</v>
      </c>
      <c r="J32" s="4">
        <f t="shared" si="11"/>
        <v>1.803751803751804E-2</v>
      </c>
      <c r="K32" s="4">
        <f t="shared" si="11"/>
        <v>7.9365079365079375E-2</v>
      </c>
      <c r="L32" s="4">
        <f t="shared" si="11"/>
        <v>0.59755059755059758</v>
      </c>
      <c r="M32" s="4">
        <f t="shared" si="11"/>
        <v>1.4178273417403853</v>
      </c>
      <c r="N32" s="4">
        <f t="shared" si="11"/>
        <v>1.9728856796066572</v>
      </c>
      <c r="O32" s="4">
        <f t="shared" si="11"/>
        <v>4.0726265496045002</v>
      </c>
      <c r="P32" s="4">
        <f t="shared" si="11"/>
        <v>21.279054760562296</v>
      </c>
    </row>
    <row r="33" spans="1:16" ht="12" customHeight="1" x14ac:dyDescent="0.3">
      <c r="B33" s="47" t="s">
        <v>47</v>
      </c>
      <c r="C33" s="47" t="s">
        <v>46</v>
      </c>
      <c r="D33" s="4">
        <f t="shared" ref="D33:P33" si="12">D17/$F$3</f>
        <v>10.34557635594307</v>
      </c>
      <c r="E33" s="4">
        <f t="shared" si="12"/>
        <v>8.642045454545455</v>
      </c>
      <c r="F33" s="4">
        <f t="shared" si="12"/>
        <v>6.9886140089418776</v>
      </c>
      <c r="G33" s="4">
        <f t="shared" si="12"/>
        <v>4.3454100911313622</v>
      </c>
      <c r="H33" s="4">
        <f t="shared" si="12"/>
        <v>2.069947043248014</v>
      </c>
      <c r="I33" s="4">
        <f t="shared" si="12"/>
        <v>0.67272727272727273</v>
      </c>
      <c r="J33" s="4">
        <f t="shared" si="12"/>
        <v>4.5454545454545456E-2</v>
      </c>
      <c r="K33" s="4">
        <f t="shared" si="12"/>
        <v>0.2</v>
      </c>
      <c r="L33" s="4">
        <f t="shared" si="12"/>
        <v>1.5058275058275057</v>
      </c>
      <c r="M33" s="4">
        <f t="shared" si="12"/>
        <v>3.5729249011857709</v>
      </c>
      <c r="N33" s="4">
        <f t="shared" si="12"/>
        <v>4.9716719126087758</v>
      </c>
      <c r="O33" s="4">
        <f t="shared" si="12"/>
        <v>10.26301890500334</v>
      </c>
      <c r="P33" s="4">
        <f t="shared" si="12"/>
        <v>53.62321799661698</v>
      </c>
    </row>
    <row r="34" spans="1:16" ht="12" customHeight="1" x14ac:dyDescent="0.3">
      <c r="B34" s="47" t="s">
        <v>44</v>
      </c>
      <c r="C34" s="47" t="s">
        <v>48</v>
      </c>
      <c r="D34" s="4">
        <f t="shared" ref="D34:P34" si="13">1000*D30/D13</f>
        <v>5.3247567351939713</v>
      </c>
      <c r="E34" s="4">
        <f t="shared" si="13"/>
        <v>4.8851611351611348</v>
      </c>
      <c r="F34" s="4">
        <f t="shared" si="13"/>
        <v>4.4443261656376416</v>
      </c>
      <c r="G34" s="4">
        <f t="shared" si="13"/>
        <v>4.0573390206642044</v>
      </c>
      <c r="H34" s="4">
        <f t="shared" si="13"/>
        <v>4.6407206601381361</v>
      </c>
      <c r="I34" s="4">
        <f t="shared" si="13"/>
        <v>5.4480666725564681</v>
      </c>
      <c r="J34" s="4">
        <f t="shared" si="13"/>
        <v>1.2883941455370029</v>
      </c>
      <c r="K34" s="4" t="e">
        <f t="shared" si="13"/>
        <v>#DIV/0!</v>
      </c>
      <c r="L34" s="4">
        <f t="shared" si="13"/>
        <v>2.9291695958362629</v>
      </c>
      <c r="M34" s="4">
        <f t="shared" si="13"/>
        <v>3.5094736181692703</v>
      </c>
      <c r="N34" s="4">
        <f t="shared" si="13"/>
        <v>3.6001563496471847</v>
      </c>
      <c r="O34" s="4">
        <f t="shared" si="13"/>
        <v>5.8938155565911723</v>
      </c>
      <c r="P34" s="4">
        <f t="shared" si="13"/>
        <v>4.662838317775889</v>
      </c>
    </row>
    <row r="35" spans="1:16" ht="12" customHeight="1" x14ac:dyDescent="0.25"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4"/>
    </row>
    <row r="36" spans="1:16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2" customHeight="1" x14ac:dyDescent="0.3">
      <c r="B38" s="47" t="s">
        <v>50</v>
      </c>
      <c r="D38" s="13">
        <f>4400*1.3</f>
        <v>5720</v>
      </c>
      <c r="E38" s="11" t="s">
        <v>26</v>
      </c>
      <c r="F38" s="51">
        <f>D38/$D$40</f>
        <v>0.55628495015803547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</row>
    <row r="39" spans="1:16" ht="12" customHeight="1" x14ac:dyDescent="0.25">
      <c r="B39" s="53" t="s">
        <v>53</v>
      </c>
      <c r="C39" s="53"/>
      <c r="D39" s="54">
        <f>K3*365</f>
        <v>4562.5</v>
      </c>
      <c r="E39" s="55" t="s">
        <v>26</v>
      </c>
      <c r="F39" s="51">
        <f>D39/$D$40</f>
        <v>0.44371504984196453</v>
      </c>
      <c r="G39" s="11" t="s">
        <v>54</v>
      </c>
      <c r="H39" s="4"/>
      <c r="I39" s="4"/>
      <c r="J39" s="4"/>
      <c r="K39" s="4">
        <f>K38-D38</f>
        <v>2846</v>
      </c>
      <c r="L39" s="11" t="s">
        <v>26</v>
      </c>
      <c r="M39" s="4"/>
      <c r="N39" s="13">
        <f>'2007'!I36</f>
        <v>14540</v>
      </c>
      <c r="O39" s="11" t="s">
        <v>26</v>
      </c>
      <c r="P39" s="4"/>
    </row>
    <row r="40" spans="1:16" ht="12" customHeight="1" x14ac:dyDescent="0.3">
      <c r="B40" s="47" t="s">
        <v>22</v>
      </c>
      <c r="D40" s="13">
        <f>SUM(D38:D39)</f>
        <v>10282.5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0.33224375437777259</v>
      </c>
      <c r="L40" s="4"/>
      <c r="M40" s="4"/>
      <c r="N40" s="4"/>
      <c r="O40" s="4"/>
      <c r="P40" s="4"/>
    </row>
    <row r="41" spans="1:16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0.21678028716151884</v>
      </c>
      <c r="L41" s="4"/>
      <c r="M41" s="4"/>
      <c r="N41" s="4"/>
      <c r="O41" s="4"/>
      <c r="P41" s="4"/>
    </row>
    <row r="42" spans="1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2" customHeight="1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ht="12" customHeight="1" x14ac:dyDescent="0.2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2" customHeight="1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2" customHeight="1" x14ac:dyDescent="0.2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ht="12" customHeigh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ht="12" customHeight="1" x14ac:dyDescent="0.2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ht="12" customHeight="1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ht="12" customHeight="1" x14ac:dyDescent="0.2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ht="12" customHeight="1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2" customHeight="1" x14ac:dyDescent="0.2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2" customHeight="1" x14ac:dyDescent="0.2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ht="12" customHeight="1" x14ac:dyDescent="0.2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ht="12" customHeight="1" x14ac:dyDescent="0.3">
      <c r="A63" s="47" t="s">
        <v>70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ht="12" customHeight="1" x14ac:dyDescent="0.2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ht="12" customHeight="1" x14ac:dyDescent="0.3">
      <c r="A65" s="48">
        <v>39807</v>
      </c>
      <c r="B65" s="47">
        <v>201.88659999999999</v>
      </c>
      <c r="D65" s="4"/>
      <c r="E65" s="4" t="s">
        <v>71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2" customHeight="1" x14ac:dyDescent="0.3">
      <c r="A66" s="48">
        <v>39836</v>
      </c>
      <c r="B66" s="47">
        <v>205.4554</v>
      </c>
      <c r="C66" s="47">
        <f t="shared" ref="C66:C72" si="14">B66-B65</f>
        <v>3.5688000000000102</v>
      </c>
      <c r="D66" s="4">
        <f>C66/29*30</f>
        <v>3.6918620689655279</v>
      </c>
      <c r="E66" s="4" t="s">
        <v>72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2" customHeight="1" x14ac:dyDescent="0.3">
      <c r="A67" s="48">
        <v>39890</v>
      </c>
      <c r="B67" s="47">
        <v>212.04820000000001</v>
      </c>
      <c r="C67" s="47">
        <f t="shared" si="14"/>
        <v>6.5928000000000111</v>
      </c>
      <c r="D67" s="4">
        <f>C67/52*28</f>
        <v>3.549969230769237</v>
      </c>
      <c r="E67" s="4" t="s">
        <v>73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2" customHeight="1" x14ac:dyDescent="0.3">
      <c r="A68" s="48">
        <v>39900</v>
      </c>
      <c r="B68" s="47">
        <v>213.6026</v>
      </c>
      <c r="C68" s="47">
        <f t="shared" si="14"/>
        <v>1.5543999999999869</v>
      </c>
      <c r="D68" s="4">
        <f>C68/10*31</f>
        <v>4.8186399999999594</v>
      </c>
      <c r="E68" s="4" t="s">
        <v>74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2" customHeight="1" x14ac:dyDescent="0.3">
      <c r="A69" s="56">
        <v>39941</v>
      </c>
      <c r="B69" s="47">
        <v>219</v>
      </c>
      <c r="C69" s="47">
        <f t="shared" si="14"/>
        <v>5.3974000000000046</v>
      </c>
      <c r="D69" s="4">
        <f>C69/(3+30+9)*30</f>
        <v>3.8552857142857171</v>
      </c>
      <c r="E69" s="4" t="s">
        <v>75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12" customHeight="1" x14ac:dyDescent="0.3">
      <c r="A70" s="56">
        <v>39969</v>
      </c>
      <c r="B70" s="47">
        <v>222.91</v>
      </c>
      <c r="C70" s="47">
        <f t="shared" si="14"/>
        <v>3.9099999999999966</v>
      </c>
      <c r="D70" s="4">
        <f>C70/(27)*30</f>
        <v>4.3444444444444414</v>
      </c>
      <c r="E70" s="4" t="s">
        <v>76</v>
      </c>
      <c r="F70" s="4"/>
      <c r="H70" s="4"/>
      <c r="I70" s="4"/>
      <c r="J70" s="4"/>
      <c r="K70" s="4"/>
      <c r="L70" s="4"/>
      <c r="M70" s="4"/>
      <c r="N70" s="4"/>
      <c r="O70" s="4"/>
      <c r="P70" s="4"/>
    </row>
    <row r="71" spans="1:16" ht="12" customHeight="1" x14ac:dyDescent="0.3">
      <c r="A71" s="56">
        <v>39999</v>
      </c>
      <c r="B71" s="47">
        <v>226.892</v>
      </c>
      <c r="C71" s="47">
        <f t="shared" si="14"/>
        <v>3.9819999999999993</v>
      </c>
      <c r="D71" s="4">
        <f>C71/(30)*30</f>
        <v>3.9819999999999993</v>
      </c>
      <c r="E71" s="4" t="s">
        <v>77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2" customHeight="1" x14ac:dyDescent="0.3">
      <c r="A72" s="48">
        <v>40020</v>
      </c>
      <c r="B72" s="47">
        <v>229.57490000000001</v>
      </c>
      <c r="C72" s="47">
        <f t="shared" si="14"/>
        <v>2.6829000000000178</v>
      </c>
      <c r="D72" s="4">
        <f>C72/(21)*31</f>
        <v>3.9604714285714548</v>
      </c>
      <c r="E72" s="4" t="s">
        <v>78</v>
      </c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2" customHeight="1" x14ac:dyDescent="0.3">
      <c r="A73" s="48">
        <v>40173</v>
      </c>
      <c r="B73" s="47">
        <v>250.04400000000001</v>
      </c>
      <c r="C73" s="47">
        <f>B73-B65</f>
        <v>48.157400000000024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ht="12" customHeight="1" x14ac:dyDescent="0.2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2" customHeight="1" x14ac:dyDescent="0.3">
      <c r="A75" s="47" t="s">
        <v>80</v>
      </c>
      <c r="C75" s="47">
        <f>48</f>
        <v>48</v>
      </c>
      <c r="D75" s="4" t="s">
        <v>81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2" customHeight="1" x14ac:dyDescent="0.2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" customHeight="1" x14ac:dyDescent="0.2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2" customHeight="1" x14ac:dyDescent="0.2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4:16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4:16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4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4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4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4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4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4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4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4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4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4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4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4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4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4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>
      <selection activeCell="P11" sqref="P11:P17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7" width="10.5546875" customWidth="1"/>
    <col min="18" max="18" width="9.44140625" customWidth="1"/>
    <col min="19" max="19" width="8.6640625" customWidth="1"/>
    <col min="20" max="20" width="10.5546875" customWidth="1"/>
    <col min="21" max="26" width="8.6640625" customWidth="1"/>
  </cols>
  <sheetData>
    <row r="1" spans="1:26" ht="12" customHeight="1" x14ac:dyDescent="0.3">
      <c r="A1" s="2" t="s">
        <v>0</v>
      </c>
      <c r="D1" s="3">
        <v>2008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T1" s="9"/>
    </row>
    <row r="2" spans="1:26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T2" s="9"/>
    </row>
    <row r="3" spans="1:26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14.75</v>
      </c>
      <c r="L3" s="11" t="s">
        <v>5</v>
      </c>
      <c r="M3" s="4"/>
      <c r="N3" s="4"/>
      <c r="O3" s="4"/>
      <c r="P3" s="4"/>
      <c r="Q3" s="8"/>
      <c r="T3" s="9"/>
    </row>
    <row r="4" spans="1:26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11"/>
      <c r="I4" s="4"/>
      <c r="J4" s="4"/>
      <c r="K4" s="4"/>
      <c r="L4" s="11"/>
      <c r="M4" s="72"/>
      <c r="N4" s="4"/>
      <c r="O4" s="4"/>
      <c r="P4" s="4"/>
      <c r="T4" s="9"/>
    </row>
    <row r="5" spans="1:26" ht="12" customHeight="1" x14ac:dyDescent="0.25">
      <c r="C5" s="4"/>
      <c r="D5" s="4"/>
      <c r="E5" s="4"/>
      <c r="F5" s="4"/>
      <c r="G5" s="4"/>
      <c r="H5" s="4"/>
      <c r="I5" s="4"/>
      <c r="J5" s="4"/>
      <c r="K5" s="4"/>
      <c r="L5" s="13"/>
      <c r="M5" s="13"/>
      <c r="N5" s="13"/>
      <c r="O5" s="13"/>
      <c r="P5" s="4"/>
      <c r="T5" s="9"/>
    </row>
    <row r="6" spans="1:26" ht="26.25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 hidden="1" customHeight="1" x14ac:dyDescent="0.25">
      <c r="A7" s="15"/>
      <c r="B7" s="16"/>
      <c r="C7" s="17"/>
      <c r="D7" s="63">
        <v>31</v>
      </c>
      <c r="E7" s="63">
        <v>29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366</v>
      </c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 x14ac:dyDescent="0.25">
      <c r="A8" s="25">
        <v>2008</v>
      </c>
      <c r="B8" s="26" t="s">
        <v>23</v>
      </c>
      <c r="C8" s="30" t="s">
        <v>65</v>
      </c>
      <c r="D8" s="28">
        <v>-2.5</v>
      </c>
      <c r="E8" s="28">
        <v>-1.4</v>
      </c>
      <c r="F8" s="28">
        <v>-2.6</v>
      </c>
      <c r="G8" s="28">
        <v>4.8</v>
      </c>
      <c r="H8" s="28">
        <v>9.5</v>
      </c>
      <c r="I8" s="28">
        <v>13.4</v>
      </c>
      <c r="J8" s="28">
        <v>16.100000000000001</v>
      </c>
      <c r="K8" s="28">
        <v>13.9</v>
      </c>
      <c r="L8" s="28">
        <v>8.6</v>
      </c>
      <c r="M8" s="28">
        <v>6.8</v>
      </c>
      <c r="N8" s="28">
        <v>1.5</v>
      </c>
      <c r="O8" s="28">
        <v>-1.3</v>
      </c>
      <c r="P8" s="28">
        <f>AVERAGE(D8:O8)</f>
        <v>5.5666666666666664</v>
      </c>
      <c r="T8" s="9"/>
    </row>
    <row r="9" spans="1:26" ht="12" customHeight="1" x14ac:dyDescent="0.25">
      <c r="A9" s="25">
        <v>2008</v>
      </c>
      <c r="B9" s="26" t="s">
        <v>67</v>
      </c>
      <c r="C9" s="30" t="s">
        <v>26</v>
      </c>
      <c r="D9" s="32">
        <v>1075</v>
      </c>
      <c r="E9" s="32">
        <v>753</v>
      </c>
      <c r="F9" s="32">
        <v>853</v>
      </c>
      <c r="G9" s="32">
        <v>479</v>
      </c>
      <c r="H9" s="32">
        <f>10484-10083</f>
        <v>401</v>
      </c>
      <c r="I9" s="32">
        <v>309</v>
      </c>
      <c r="J9" s="32">
        <f>11038-10793</f>
        <v>245</v>
      </c>
      <c r="K9" s="32">
        <f>11333-11038</f>
        <v>295</v>
      </c>
      <c r="L9" s="32">
        <f>11655-11333</f>
        <v>322</v>
      </c>
      <c r="M9" s="32">
        <f>12040-11655</f>
        <v>385</v>
      </c>
      <c r="N9" s="32">
        <f>12532-12040</f>
        <v>492</v>
      </c>
      <c r="O9" s="32">
        <f>(13148-12532)</f>
        <v>616</v>
      </c>
      <c r="P9" s="32">
        <f t="shared" ref="P9:P17" si="0">SUM(D9:O9)</f>
        <v>6225</v>
      </c>
      <c r="Q9" s="34"/>
      <c r="R9" s="35">
        <f>O9/$O$11</f>
        <v>0.51376146788990829</v>
      </c>
      <c r="S9" s="35"/>
      <c r="T9" s="9"/>
    </row>
    <row r="10" spans="1:26" ht="12" customHeight="1" x14ac:dyDescent="0.25">
      <c r="A10" s="25">
        <v>2008</v>
      </c>
      <c r="B10" s="26" t="s">
        <v>68</v>
      </c>
      <c r="C10" s="30" t="s">
        <v>26</v>
      </c>
      <c r="D10" s="32">
        <v>921</v>
      </c>
      <c r="E10" s="32">
        <v>696</v>
      </c>
      <c r="F10" s="32">
        <v>764</v>
      </c>
      <c r="G10" s="32">
        <v>548</v>
      </c>
      <c r="H10" s="32">
        <f>8917-8562</f>
        <v>355</v>
      </c>
      <c r="I10" s="32">
        <v>246</v>
      </c>
      <c r="J10" s="32">
        <f>9375-9163</f>
        <v>212</v>
      </c>
      <c r="K10" s="32">
        <f>9595-9375</f>
        <v>220</v>
      </c>
      <c r="L10" s="32">
        <f>9915-9595</f>
        <v>320</v>
      </c>
      <c r="M10" s="32">
        <f>10274-9915</f>
        <v>359</v>
      </c>
      <c r="N10" s="32">
        <f>10773-10274</f>
        <v>499</v>
      </c>
      <c r="O10" s="32">
        <f>(11356-10773)</f>
        <v>583</v>
      </c>
      <c r="P10" s="32">
        <f t="shared" si="0"/>
        <v>5723</v>
      </c>
      <c r="Q10" s="34"/>
      <c r="R10" s="35">
        <f>O10/$O$11</f>
        <v>0.48623853211009177</v>
      </c>
      <c r="S10" s="35"/>
      <c r="T10" s="9"/>
    </row>
    <row r="11" spans="1:26" ht="12" customHeight="1" x14ac:dyDescent="0.25">
      <c r="A11" s="25">
        <v>2008</v>
      </c>
      <c r="B11" s="26" t="s">
        <v>25</v>
      </c>
      <c r="C11" s="30" t="s">
        <v>26</v>
      </c>
      <c r="D11" s="32">
        <f t="shared" ref="D11:O11" si="1">SUM(D9:D10)</f>
        <v>1996</v>
      </c>
      <c r="E11" s="32">
        <f t="shared" si="1"/>
        <v>1449</v>
      </c>
      <c r="F11" s="32">
        <f t="shared" si="1"/>
        <v>1617</v>
      </c>
      <c r="G11" s="32">
        <f t="shared" si="1"/>
        <v>1027</v>
      </c>
      <c r="H11" s="32">
        <f t="shared" si="1"/>
        <v>756</v>
      </c>
      <c r="I11" s="32">
        <f t="shared" si="1"/>
        <v>555</v>
      </c>
      <c r="J11" s="32">
        <f t="shared" si="1"/>
        <v>457</v>
      </c>
      <c r="K11" s="32">
        <f t="shared" si="1"/>
        <v>515</v>
      </c>
      <c r="L11" s="32">
        <f t="shared" si="1"/>
        <v>642</v>
      </c>
      <c r="M11" s="32">
        <f t="shared" si="1"/>
        <v>744</v>
      </c>
      <c r="N11" s="32">
        <f t="shared" si="1"/>
        <v>991</v>
      </c>
      <c r="O11" s="32">
        <f t="shared" si="1"/>
        <v>1199</v>
      </c>
      <c r="P11" s="33">
        <f t="shared" si="0"/>
        <v>11948</v>
      </c>
      <c r="Q11" s="34"/>
      <c r="R11" s="34">
        <f>SUM(D11:F11)+SUM('2007'!G11:O11)</f>
        <v>13278</v>
      </c>
      <c r="S11" s="35"/>
      <c r="T11" s="36">
        <f>SUM(D11:I11)</f>
        <v>7400</v>
      </c>
    </row>
    <row r="12" spans="1:26" ht="12" customHeight="1" x14ac:dyDescent="0.25">
      <c r="A12" s="25">
        <v>2008</v>
      </c>
      <c r="B12" s="26" t="s">
        <v>69</v>
      </c>
      <c r="C12" s="30" t="s">
        <v>26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3</v>
      </c>
      <c r="K12" s="32">
        <f>46.29-3</f>
        <v>43.29</v>
      </c>
      <c r="L12" s="32">
        <f>162.79-46.29</f>
        <v>116.5</v>
      </c>
      <c r="M12" s="32">
        <f>373.5-162.79</f>
        <v>210.71</v>
      </c>
      <c r="N12" s="43">
        <f>600.38-373.5</f>
        <v>226.88</v>
      </c>
      <c r="O12" s="32">
        <f>274.87+74+11.5</f>
        <v>360.37</v>
      </c>
      <c r="P12" s="32">
        <f t="shared" si="0"/>
        <v>960.75</v>
      </c>
      <c r="Q12" s="34">
        <f>SUM(K12:O12)+'2009'!P12</f>
        <v>3338.2171798029563</v>
      </c>
      <c r="R12" s="35">
        <f>O12/$O$11</f>
        <v>0.30055879899916599</v>
      </c>
      <c r="S12" s="35"/>
      <c r="T12" s="9"/>
    </row>
    <row r="13" spans="1:26" ht="12" customHeight="1" x14ac:dyDescent="0.25">
      <c r="A13" s="25">
        <v>2008</v>
      </c>
      <c r="B13" s="40" t="s">
        <v>29</v>
      </c>
      <c r="C13" s="30" t="s">
        <v>66</v>
      </c>
      <c r="D13" s="32">
        <v>620</v>
      </c>
      <c r="E13" s="32">
        <v>547</v>
      </c>
      <c r="F13" s="32">
        <v>610</v>
      </c>
      <c r="G13" s="32">
        <v>343</v>
      </c>
      <c r="H13" s="32">
        <v>190</v>
      </c>
      <c r="I13" s="32">
        <v>23</v>
      </c>
      <c r="J13" s="32">
        <v>5</v>
      </c>
      <c r="K13" s="32">
        <v>46</v>
      </c>
      <c r="L13" s="32">
        <v>223</v>
      </c>
      <c r="M13" s="32">
        <v>319</v>
      </c>
      <c r="N13" s="32">
        <v>474</v>
      </c>
      <c r="O13" s="32">
        <v>577</v>
      </c>
      <c r="P13" s="32">
        <f t="shared" si="0"/>
        <v>3977</v>
      </c>
      <c r="Q13" s="42"/>
      <c r="R13" s="36"/>
      <c r="S13" s="35"/>
      <c r="T13" s="36">
        <f>SUM(D13:H13)</f>
        <v>2310</v>
      </c>
      <c r="U13" s="35"/>
      <c r="V13" s="35"/>
    </row>
    <row r="14" spans="1:26" ht="12" customHeight="1" x14ac:dyDescent="0.25">
      <c r="A14" s="25">
        <v>2008</v>
      </c>
      <c r="B14" s="40" t="s">
        <v>31</v>
      </c>
      <c r="C14" s="30" t="s">
        <v>66</v>
      </c>
      <c r="D14" s="32">
        <v>771</v>
      </c>
      <c r="E14" s="32">
        <v>702</v>
      </c>
      <c r="F14" s="32">
        <v>624</v>
      </c>
      <c r="G14" s="32">
        <v>425</v>
      </c>
      <c r="H14" s="32">
        <v>177</v>
      </c>
      <c r="I14" s="32">
        <v>26</v>
      </c>
      <c r="J14" s="32">
        <v>6</v>
      </c>
      <c r="K14" s="32">
        <v>34</v>
      </c>
      <c r="L14" s="32">
        <v>204</v>
      </c>
      <c r="M14" s="32">
        <v>404</v>
      </c>
      <c r="N14" s="32">
        <v>548</v>
      </c>
      <c r="O14" s="32">
        <v>691</v>
      </c>
      <c r="P14" s="32">
        <f t="shared" si="0"/>
        <v>4612</v>
      </c>
      <c r="R14" s="42">
        <f>(P14-P13)/P14</f>
        <v>0.13768430182133565</v>
      </c>
      <c r="T14" s="9"/>
      <c r="U14" s="34"/>
      <c r="V14" s="34"/>
    </row>
    <row r="15" spans="1:26" ht="12" customHeight="1" x14ac:dyDescent="0.25">
      <c r="A15" s="25">
        <v>2008</v>
      </c>
      <c r="B15" s="26" t="s">
        <v>32</v>
      </c>
      <c r="C15" s="30" t="s">
        <v>26</v>
      </c>
      <c r="D15" s="32">
        <f t="shared" ref="D15:O15" si="2">$K$3*D7</f>
        <v>457.25</v>
      </c>
      <c r="E15" s="32">
        <f t="shared" si="2"/>
        <v>427.75</v>
      </c>
      <c r="F15" s="32">
        <f t="shared" si="2"/>
        <v>457.25</v>
      </c>
      <c r="G15" s="32">
        <f t="shared" si="2"/>
        <v>442.5</v>
      </c>
      <c r="H15" s="32">
        <f t="shared" si="2"/>
        <v>457.25</v>
      </c>
      <c r="I15" s="32">
        <f t="shared" si="2"/>
        <v>442.5</v>
      </c>
      <c r="J15" s="32">
        <f t="shared" si="2"/>
        <v>457.25</v>
      </c>
      <c r="K15" s="32">
        <f t="shared" si="2"/>
        <v>457.25</v>
      </c>
      <c r="L15" s="32">
        <f t="shared" si="2"/>
        <v>442.5</v>
      </c>
      <c r="M15" s="32">
        <f t="shared" si="2"/>
        <v>457.25</v>
      </c>
      <c r="N15" s="32">
        <f t="shared" si="2"/>
        <v>442.5</v>
      </c>
      <c r="O15" s="32">
        <f t="shared" si="2"/>
        <v>457.25</v>
      </c>
      <c r="P15" s="32">
        <f t="shared" si="0"/>
        <v>5398.5</v>
      </c>
      <c r="T15" s="9"/>
    </row>
    <row r="16" spans="1:26" ht="12" customHeight="1" x14ac:dyDescent="0.25">
      <c r="A16" s="25">
        <v>2008</v>
      </c>
      <c r="B16" s="26" t="s">
        <v>33</v>
      </c>
      <c r="C16" s="30" t="s">
        <v>26</v>
      </c>
      <c r="D16" s="32">
        <f t="shared" ref="D16:I16" si="3">D11-D15</f>
        <v>1538.75</v>
      </c>
      <c r="E16" s="32">
        <f t="shared" si="3"/>
        <v>1021.25</v>
      </c>
      <c r="F16" s="32">
        <f t="shared" si="3"/>
        <v>1159.75</v>
      </c>
      <c r="G16" s="32">
        <f t="shared" si="3"/>
        <v>584.5</v>
      </c>
      <c r="H16" s="32">
        <f t="shared" si="3"/>
        <v>298.75</v>
      </c>
      <c r="I16" s="32">
        <f t="shared" si="3"/>
        <v>112.5</v>
      </c>
      <c r="J16" s="32">
        <v>3</v>
      </c>
      <c r="K16" s="32">
        <f>K11-K15</f>
        <v>57.75</v>
      </c>
      <c r="L16" s="32">
        <f>L11-L15</f>
        <v>199.5</v>
      </c>
      <c r="M16" s="32">
        <f>M11-M15</f>
        <v>286.75</v>
      </c>
      <c r="N16" s="32">
        <f>N11-N15</f>
        <v>548.5</v>
      </c>
      <c r="O16" s="32">
        <f>O11-O15</f>
        <v>741.75</v>
      </c>
      <c r="P16" s="32">
        <f t="shared" si="0"/>
        <v>6552.75</v>
      </c>
      <c r="R16" s="35"/>
      <c r="T16" s="9"/>
    </row>
    <row r="17" spans="1:26" ht="12" customHeight="1" x14ac:dyDescent="0.25">
      <c r="A17" s="25">
        <v>2008</v>
      </c>
      <c r="B17" s="26" t="s">
        <v>34</v>
      </c>
      <c r="C17" s="30" t="s">
        <v>26</v>
      </c>
      <c r="D17" s="32">
        <f>IF(D16&lt;0,0,((D14/D13))*D16)</f>
        <v>1913.5100806451615</v>
      </c>
      <c r="E17" s="32">
        <f>IF(E16&lt;0,0,((E14/E13))*E16)</f>
        <v>1310.6352833638025</v>
      </c>
      <c r="F17" s="32">
        <f>IF(F16&lt;0,0,((F14/F13))*F16)</f>
        <v>1186.3672131147541</v>
      </c>
      <c r="G17" s="32">
        <f>IF(G16&lt;0,0,((G14/G13))*G16)</f>
        <v>724.23469387755108</v>
      </c>
      <c r="H17" s="32">
        <f>IF(H16&lt;0,0,((H14/H13))*H16)</f>
        <v>278.30921052631578</v>
      </c>
      <c r="I17" s="43">
        <f>I16</f>
        <v>112.5</v>
      </c>
      <c r="J17" s="43">
        <f>J16</f>
        <v>3</v>
      </c>
      <c r="K17" s="43">
        <f>K16</f>
        <v>57.75</v>
      </c>
      <c r="L17" s="32">
        <f>IF(L16&lt;0,0,((L14/L13))*L16)</f>
        <v>182.50224215246635</v>
      </c>
      <c r="M17" s="32">
        <f>IF(M16&lt;0,0,((M14/M13))*M16)</f>
        <v>363.15673981191219</v>
      </c>
      <c r="N17" s="32">
        <f>IF(N16&lt;0,0,((N14/N13))*N16)</f>
        <v>634.13080168776378</v>
      </c>
      <c r="O17" s="32">
        <f>IF(O16&lt;0,0,((O14/O13))*O16)</f>
        <v>888.300259965338</v>
      </c>
      <c r="P17" s="33">
        <f t="shared" si="0"/>
        <v>7654.3965251450654</v>
      </c>
      <c r="Q17" s="44"/>
      <c r="R17" s="34">
        <f>SUM(D17:F17)+SUM('2007'!G16:O16)</f>
        <v>8781.4916894546641</v>
      </c>
      <c r="T17" s="9"/>
    </row>
    <row r="18" spans="1:26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T18" s="9"/>
    </row>
    <row r="19" spans="1:26" ht="12" customHeight="1" x14ac:dyDescent="0.3"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36">
        <f>SUM(D17:G17)+SUM('2007'!M16:O16)</f>
        <v>8204.8531052136532</v>
      </c>
      <c r="R19" s="47">
        <f>(N17-'2007'!N16)/'2007'!N16</f>
        <v>-0.37872168284789637</v>
      </c>
      <c r="T19" s="9"/>
    </row>
    <row r="20" spans="1:26" ht="12" customHeight="1" x14ac:dyDescent="0.25">
      <c r="A20" s="9" t="s">
        <v>35</v>
      </c>
      <c r="B20" s="10"/>
      <c r="C20" s="9" t="s">
        <v>5</v>
      </c>
      <c r="D20" s="4">
        <f>D11/D7</f>
        <v>64.387096774193552</v>
      </c>
      <c r="E20" s="4">
        <f>E11/E7</f>
        <v>49.96551724137931</v>
      </c>
      <c r="F20" s="4">
        <f>F11/F7</f>
        <v>52.161290322580648</v>
      </c>
      <c r="G20" s="4">
        <f>G10/G7</f>
        <v>18.266666666666666</v>
      </c>
      <c r="H20" s="4">
        <f t="shared" ref="H20:O20" si="4">H11/H7</f>
        <v>24.387096774193548</v>
      </c>
      <c r="I20" s="4">
        <f t="shared" si="4"/>
        <v>18.5</v>
      </c>
      <c r="J20" s="4">
        <f t="shared" si="4"/>
        <v>14.741935483870968</v>
      </c>
      <c r="K20" s="4">
        <f t="shared" si="4"/>
        <v>16.612903225806452</v>
      </c>
      <c r="L20" s="4">
        <f t="shared" si="4"/>
        <v>21.4</v>
      </c>
      <c r="M20" s="4">
        <f t="shared" si="4"/>
        <v>24</v>
      </c>
      <c r="N20" s="4">
        <f t="shared" si="4"/>
        <v>33.033333333333331</v>
      </c>
      <c r="O20" s="4">
        <f t="shared" si="4"/>
        <v>38.677419354838712</v>
      </c>
      <c r="P20" s="4">
        <f>P10/365</f>
        <v>15.67945205479452</v>
      </c>
      <c r="T20" s="9"/>
    </row>
    <row r="21" spans="1:26" ht="12" customHeight="1" x14ac:dyDescent="0.3">
      <c r="A21" s="10"/>
      <c r="B21" s="47" t="s">
        <v>36</v>
      </c>
      <c r="C21" s="11" t="s">
        <v>26</v>
      </c>
      <c r="D21" s="4">
        <f>SUM(D11)</f>
        <v>1996</v>
      </c>
      <c r="E21" s="4">
        <f>SUM($D$11:E11)</f>
        <v>3445</v>
      </c>
      <c r="F21" s="4">
        <f>SUM($D$11:F11)</f>
        <v>5062</v>
      </c>
      <c r="G21" s="4">
        <f>SUM($D$11:G11)</f>
        <v>6089</v>
      </c>
      <c r="H21" s="4">
        <f>SUM($D$11:H11)</f>
        <v>6845</v>
      </c>
      <c r="I21" s="4">
        <f>SUM($D$11:I11)</f>
        <v>7400</v>
      </c>
      <c r="J21" s="4">
        <f>SUM($D$11:J11)</f>
        <v>7857</v>
      </c>
      <c r="K21" s="4">
        <f>SUM($D$11:K11)</f>
        <v>8372</v>
      </c>
      <c r="L21" s="4">
        <f>SUM($D$11:L11)</f>
        <v>9014</v>
      </c>
      <c r="M21" s="4">
        <f>SUM($D$11:M11)</f>
        <v>9758</v>
      </c>
      <c r="N21" s="4">
        <f>SUM($D$11:N11)</f>
        <v>10749</v>
      </c>
      <c r="O21" s="4">
        <f>SUM($D$11:O11)</f>
        <v>11948</v>
      </c>
      <c r="P21" s="4"/>
      <c r="T21" s="9"/>
    </row>
    <row r="22" spans="1:26" ht="12" customHeight="1" x14ac:dyDescent="0.3">
      <c r="A22" s="10"/>
      <c r="B22" s="47" t="s">
        <v>37</v>
      </c>
      <c r="C22" s="11" t="s">
        <v>26</v>
      </c>
      <c r="D22" s="4">
        <f>SUM(D12)</f>
        <v>0</v>
      </c>
      <c r="E22" s="4">
        <f>SUM($D$12:E12)</f>
        <v>0</v>
      </c>
      <c r="F22" s="4">
        <f>SUM($D$12:F12)</f>
        <v>0</v>
      </c>
      <c r="G22" s="4">
        <f>SUM($D$12:G12)</f>
        <v>0</v>
      </c>
      <c r="H22" s="4">
        <f>SUM($D$12:H12)</f>
        <v>0</v>
      </c>
      <c r="I22" s="4">
        <f>SUM($D$12:I12)</f>
        <v>0</v>
      </c>
      <c r="J22" s="4">
        <f>SUM($D$12:J12)</f>
        <v>3</v>
      </c>
      <c r="K22" s="4">
        <f>SUM($D$12:K12)</f>
        <v>46.29</v>
      </c>
      <c r="L22" s="4">
        <f>SUM($D$12:L12)</f>
        <v>162.79</v>
      </c>
      <c r="M22" s="4">
        <f>SUM($D$12:M12)</f>
        <v>373.5</v>
      </c>
      <c r="N22" s="4">
        <f>SUM($D$12:N12)</f>
        <v>600.38</v>
      </c>
      <c r="O22" s="4">
        <f>SUM($D$12:O12)</f>
        <v>960.75</v>
      </c>
      <c r="P22" s="4"/>
      <c r="R22" s="36">
        <f>'2007'!D16-'2008'!D17</f>
        <v>-270.70470751083303</v>
      </c>
      <c r="T22" s="9"/>
    </row>
    <row r="23" spans="1:26" ht="12" customHeight="1" x14ac:dyDescent="0.3">
      <c r="A23" s="10"/>
      <c r="B23" s="47" t="s">
        <v>38</v>
      </c>
      <c r="C23" s="11" t="s">
        <v>26</v>
      </c>
      <c r="D23" s="4">
        <f>SUM(D16)</f>
        <v>1538.75</v>
      </c>
      <c r="E23" s="4">
        <f>SUM($D$16:E16)</f>
        <v>2560</v>
      </c>
      <c r="F23" s="4">
        <f>SUM($D$16:F16)</f>
        <v>3719.75</v>
      </c>
      <c r="G23" s="4">
        <f>SUM($D$16:G16)</f>
        <v>4304.25</v>
      </c>
      <c r="H23" s="4">
        <f>SUM($D$16:H16)</f>
        <v>4603</v>
      </c>
      <c r="I23" s="4">
        <f>SUM($D$16:I16)</f>
        <v>4715.5</v>
      </c>
      <c r="J23" s="4">
        <f>SUM($D$16:J16)</f>
        <v>4718.5</v>
      </c>
      <c r="K23" s="4">
        <f>SUM($D$16:K16)</f>
        <v>4776.25</v>
      </c>
      <c r="L23" s="4">
        <f>SUM($D$16:L16)</f>
        <v>4975.75</v>
      </c>
      <c r="M23" s="4">
        <f>SUM($D$16:M16)</f>
        <v>5262.5</v>
      </c>
      <c r="N23" s="4">
        <f>SUM($D$16:N16)</f>
        <v>5811</v>
      </c>
      <c r="O23" s="4">
        <f>SUM($D$16:O16)</f>
        <v>6552.75</v>
      </c>
      <c r="P23" s="4"/>
      <c r="T23" s="9"/>
    </row>
    <row r="24" spans="1:26" ht="12" customHeight="1" x14ac:dyDescent="0.25">
      <c r="A24" s="10"/>
      <c r="C24" s="1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R24" s="42">
        <f>R22/'2007'!D16</f>
        <v>-0.1647819710951835</v>
      </c>
      <c r="T24" s="9"/>
    </row>
    <row r="25" spans="1:26" ht="12" customHeight="1" x14ac:dyDescent="0.3">
      <c r="A25" s="47" t="s">
        <v>39</v>
      </c>
      <c r="D25" s="49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34"/>
      <c r="R25" s="34"/>
      <c r="S25" s="34"/>
      <c r="T25" s="9"/>
      <c r="U25" s="34"/>
      <c r="V25" s="34"/>
    </row>
    <row r="26" spans="1:26" ht="12" customHeight="1" x14ac:dyDescent="0.25">
      <c r="A26" s="9"/>
      <c r="B26" s="9" t="s">
        <v>40</v>
      </c>
      <c r="C26" s="9"/>
      <c r="D26" s="51">
        <f t="shared" ref="D26:P26" si="5">D16/D11</f>
        <v>0.77091683366733466</v>
      </c>
      <c r="E26" s="51">
        <f t="shared" si="5"/>
        <v>0.70479641131815041</v>
      </c>
      <c r="F26" s="51">
        <f t="shared" si="5"/>
        <v>0.71722325293753864</v>
      </c>
      <c r="G26" s="51">
        <f t="shared" si="5"/>
        <v>0.56913339824732234</v>
      </c>
      <c r="H26" s="51">
        <f t="shared" si="5"/>
        <v>0.39517195767195767</v>
      </c>
      <c r="I26" s="51">
        <f t="shared" si="5"/>
        <v>0.20270270270270271</v>
      </c>
      <c r="J26" s="51">
        <f t="shared" si="5"/>
        <v>6.5645514223194746E-3</v>
      </c>
      <c r="K26" s="51">
        <f t="shared" si="5"/>
        <v>0.11213592233009709</v>
      </c>
      <c r="L26" s="51">
        <f t="shared" si="5"/>
        <v>0.31074766355140188</v>
      </c>
      <c r="M26" s="51">
        <f t="shared" si="5"/>
        <v>0.38541666666666669</v>
      </c>
      <c r="N26" s="51">
        <f t="shared" si="5"/>
        <v>0.55348133198789107</v>
      </c>
      <c r="O26" s="51">
        <f t="shared" si="5"/>
        <v>0.61864053377814843</v>
      </c>
      <c r="P26" s="51">
        <f t="shared" si="5"/>
        <v>0.54843906930030129</v>
      </c>
      <c r="Q26" s="34"/>
      <c r="R26" s="34"/>
      <c r="S26" s="34"/>
      <c r="T26" s="9"/>
      <c r="U26" s="34"/>
      <c r="V26" s="34"/>
      <c r="W26" s="9"/>
      <c r="X26" s="9"/>
      <c r="Y26" s="9"/>
      <c r="Z26" s="9"/>
    </row>
    <row r="27" spans="1:26" ht="12" customHeight="1" x14ac:dyDescent="0.3">
      <c r="B27" s="47" t="s">
        <v>41</v>
      </c>
      <c r="C27" s="9" t="s">
        <v>42</v>
      </c>
      <c r="D27" s="4">
        <f>D16/D13</f>
        <v>2.4818548387096775</v>
      </c>
      <c r="E27" s="4">
        <f>E16/E13</f>
        <v>1.867001828153565</v>
      </c>
      <c r="F27" s="4">
        <f>F16/F13</f>
        <v>1.9012295081967212</v>
      </c>
      <c r="G27" s="4">
        <f>G16/G13</f>
        <v>1.7040816326530612</v>
      </c>
      <c r="H27" s="4">
        <f>H16/H13</f>
        <v>1.5723684210526316</v>
      </c>
      <c r="I27" s="4"/>
      <c r="J27" s="4"/>
      <c r="K27" s="4"/>
      <c r="L27" s="4">
        <f>L16/L13</f>
        <v>0.89461883408071752</v>
      </c>
      <c r="M27" s="4">
        <f>M16/M13</f>
        <v>0.89890282131661448</v>
      </c>
      <c r="N27" s="4">
        <f>N16/N13</f>
        <v>1.1571729957805907</v>
      </c>
      <c r="O27" s="4">
        <f>O16/O13</f>
        <v>1.285528596187175</v>
      </c>
      <c r="P27" s="4">
        <f>P16/P13</f>
        <v>1.6476615539351269</v>
      </c>
      <c r="T27" s="9"/>
    </row>
    <row r="28" spans="1:26" ht="12" customHeight="1" x14ac:dyDescent="0.3">
      <c r="B28" s="47" t="s">
        <v>41</v>
      </c>
      <c r="C28" s="11" t="s">
        <v>5</v>
      </c>
      <c r="D28" s="4">
        <f t="shared" ref="D28:P28" si="6">D16/D7</f>
        <v>49.637096774193552</v>
      </c>
      <c r="E28" s="4">
        <f t="shared" si="6"/>
        <v>35.21551724137931</v>
      </c>
      <c r="F28" s="4">
        <f t="shared" si="6"/>
        <v>37.411290322580648</v>
      </c>
      <c r="G28" s="4">
        <f t="shared" si="6"/>
        <v>19.483333333333334</v>
      </c>
      <c r="H28" s="4">
        <f t="shared" si="6"/>
        <v>9.637096774193548</v>
      </c>
      <c r="I28" s="4">
        <f t="shared" si="6"/>
        <v>3.75</v>
      </c>
      <c r="J28" s="4">
        <f t="shared" si="6"/>
        <v>9.6774193548387094E-2</v>
      </c>
      <c r="K28" s="4">
        <f t="shared" si="6"/>
        <v>1.8629032258064515</v>
      </c>
      <c r="L28" s="4">
        <f t="shared" si="6"/>
        <v>6.65</v>
      </c>
      <c r="M28" s="4">
        <f t="shared" si="6"/>
        <v>9.25</v>
      </c>
      <c r="N28" s="4">
        <f t="shared" si="6"/>
        <v>18.283333333333335</v>
      </c>
      <c r="O28" s="4">
        <f t="shared" si="6"/>
        <v>23.927419354838708</v>
      </c>
      <c r="P28" s="4">
        <f t="shared" si="6"/>
        <v>17.903688524590162</v>
      </c>
      <c r="T28" s="9"/>
    </row>
    <row r="29" spans="1:26" ht="12" customHeight="1" x14ac:dyDescent="0.3">
      <c r="B29" s="47" t="s">
        <v>43</v>
      </c>
      <c r="C29" s="11" t="s">
        <v>5</v>
      </c>
      <c r="D29" s="4">
        <f t="shared" ref="D29:P29" si="7">D17/D7</f>
        <v>61.726131633714886</v>
      </c>
      <c r="E29" s="4">
        <f t="shared" si="7"/>
        <v>45.194320115993193</v>
      </c>
      <c r="F29" s="4">
        <f t="shared" si="7"/>
        <v>38.26991010047594</v>
      </c>
      <c r="G29" s="4">
        <f t="shared" si="7"/>
        <v>24.141156462585037</v>
      </c>
      <c r="H29" s="4">
        <f t="shared" si="7"/>
        <v>8.9777164685908311</v>
      </c>
      <c r="I29" s="4">
        <f t="shared" si="7"/>
        <v>3.75</v>
      </c>
      <c r="J29" s="4">
        <f t="shared" si="7"/>
        <v>9.6774193548387094E-2</v>
      </c>
      <c r="K29" s="4">
        <f t="shared" si="7"/>
        <v>1.8629032258064515</v>
      </c>
      <c r="L29" s="4">
        <f t="shared" si="7"/>
        <v>6.0834080717488783</v>
      </c>
      <c r="M29" s="4">
        <f t="shared" si="7"/>
        <v>11.714733542319747</v>
      </c>
      <c r="N29" s="4">
        <f t="shared" si="7"/>
        <v>21.137693389592126</v>
      </c>
      <c r="O29" s="4">
        <f t="shared" si="7"/>
        <v>28.654847095656063</v>
      </c>
      <c r="P29" s="4">
        <f t="shared" si="7"/>
        <v>20.913651708046626</v>
      </c>
      <c r="T29" s="9"/>
    </row>
    <row r="30" spans="1:26" ht="12" customHeight="1" x14ac:dyDescent="0.3">
      <c r="B30" s="47" t="s">
        <v>44</v>
      </c>
      <c r="C30" s="47" t="s">
        <v>45</v>
      </c>
      <c r="D30" s="4">
        <f t="shared" ref="D30:P30" si="8">D16/$F$4</f>
        <v>5.5510461760461762</v>
      </c>
      <c r="E30" s="4">
        <f t="shared" si="8"/>
        <v>3.6841630591630592</v>
      </c>
      <c r="F30" s="4">
        <f t="shared" si="8"/>
        <v>4.1838023088023091</v>
      </c>
      <c r="G30" s="4">
        <f t="shared" si="8"/>
        <v>2.1085858585858586</v>
      </c>
      <c r="H30" s="4">
        <f t="shared" si="8"/>
        <v>1.0777417027417029</v>
      </c>
      <c r="I30" s="4">
        <f t="shared" si="8"/>
        <v>0.40584415584415584</v>
      </c>
      <c r="J30" s="4">
        <f t="shared" si="8"/>
        <v>1.0822510822510824E-2</v>
      </c>
      <c r="K30" s="4">
        <f t="shared" si="8"/>
        <v>0.20833333333333334</v>
      </c>
      <c r="L30" s="4">
        <f t="shared" si="8"/>
        <v>0.71969696969696972</v>
      </c>
      <c r="M30" s="4">
        <f t="shared" si="8"/>
        <v>1.0344516594516595</v>
      </c>
      <c r="N30" s="4">
        <f t="shared" si="8"/>
        <v>1.9787157287157289</v>
      </c>
      <c r="O30" s="4">
        <f t="shared" si="8"/>
        <v>2.6758658008658012</v>
      </c>
      <c r="P30" s="4">
        <f t="shared" si="8"/>
        <v>23.639069264069263</v>
      </c>
      <c r="T30" s="9"/>
    </row>
    <row r="31" spans="1:26" ht="12" customHeight="1" x14ac:dyDescent="0.3">
      <c r="B31" s="47" t="s">
        <v>44</v>
      </c>
      <c r="C31" s="47" t="s">
        <v>46</v>
      </c>
      <c r="D31" s="4">
        <f t="shared" ref="D31:P31" si="9">D16/$F$3</f>
        <v>13.988636363636363</v>
      </c>
      <c r="E31" s="4">
        <f t="shared" si="9"/>
        <v>9.2840909090909083</v>
      </c>
      <c r="F31" s="4">
        <f t="shared" si="9"/>
        <v>10.543181818181818</v>
      </c>
      <c r="G31" s="4">
        <f t="shared" si="9"/>
        <v>5.3136363636363635</v>
      </c>
      <c r="H31" s="4">
        <f t="shared" si="9"/>
        <v>2.7159090909090908</v>
      </c>
      <c r="I31" s="4">
        <f t="shared" si="9"/>
        <v>1.0227272727272727</v>
      </c>
      <c r="J31" s="4">
        <f t="shared" si="9"/>
        <v>2.7272727272727271E-2</v>
      </c>
      <c r="K31" s="4">
        <f t="shared" si="9"/>
        <v>0.52500000000000002</v>
      </c>
      <c r="L31" s="4">
        <f t="shared" si="9"/>
        <v>1.8136363636363637</v>
      </c>
      <c r="M31" s="4">
        <f t="shared" si="9"/>
        <v>2.6068181818181819</v>
      </c>
      <c r="N31" s="4">
        <f t="shared" si="9"/>
        <v>4.9863636363636363</v>
      </c>
      <c r="O31" s="4">
        <f t="shared" si="9"/>
        <v>6.7431818181818182</v>
      </c>
      <c r="P31" s="4">
        <f t="shared" si="9"/>
        <v>59.570454545454545</v>
      </c>
      <c r="T31" s="9"/>
    </row>
    <row r="32" spans="1:26" ht="12" customHeight="1" x14ac:dyDescent="0.3">
      <c r="B32" s="47" t="s">
        <v>47</v>
      </c>
      <c r="C32" s="47" t="s">
        <v>45</v>
      </c>
      <c r="D32" s="4">
        <f t="shared" ref="D32:P32" si="10">D17/$F$4</f>
        <v>6.9029945189219388</v>
      </c>
      <c r="E32" s="4">
        <f t="shared" si="10"/>
        <v>4.7281215128564309</v>
      </c>
      <c r="F32" s="4">
        <f t="shared" si="10"/>
        <v>4.2798240011354771</v>
      </c>
      <c r="G32" s="4">
        <f t="shared" si="10"/>
        <v>2.6126792708425364</v>
      </c>
      <c r="H32" s="4">
        <f t="shared" si="10"/>
        <v>1.0040014809751652</v>
      </c>
      <c r="I32" s="4">
        <f t="shared" si="10"/>
        <v>0.40584415584415584</v>
      </c>
      <c r="J32" s="4">
        <f t="shared" si="10"/>
        <v>1.0822510822510824E-2</v>
      </c>
      <c r="K32" s="4">
        <f t="shared" si="10"/>
        <v>0.20833333333333334</v>
      </c>
      <c r="L32" s="4">
        <f t="shared" si="10"/>
        <v>0.65837749694251935</v>
      </c>
      <c r="M32" s="4">
        <f t="shared" si="10"/>
        <v>1.3100892489607223</v>
      </c>
      <c r="N32" s="4">
        <f t="shared" si="10"/>
        <v>2.2876291547177625</v>
      </c>
      <c r="O32" s="4">
        <f t="shared" si="10"/>
        <v>3.2045463923713493</v>
      </c>
      <c r="P32" s="4">
        <f t="shared" si="10"/>
        <v>27.613263077723904</v>
      </c>
      <c r="T32" s="9"/>
    </row>
    <row r="33" spans="1:20" ht="12" customHeight="1" x14ac:dyDescent="0.3">
      <c r="B33" s="47" t="s">
        <v>47</v>
      </c>
      <c r="C33" s="47" t="s">
        <v>46</v>
      </c>
      <c r="D33" s="4">
        <f t="shared" ref="D33:P33" si="11">D17/$F$3</f>
        <v>17.395546187683287</v>
      </c>
      <c r="E33" s="4">
        <f t="shared" si="11"/>
        <v>11.914866212398204</v>
      </c>
      <c r="F33" s="4">
        <f t="shared" si="11"/>
        <v>10.785156482861401</v>
      </c>
      <c r="G33" s="4">
        <f t="shared" si="11"/>
        <v>6.583951762523192</v>
      </c>
      <c r="H33" s="4">
        <f t="shared" si="11"/>
        <v>2.5300837320574163</v>
      </c>
      <c r="I33" s="4">
        <f t="shared" si="11"/>
        <v>1.0227272727272727</v>
      </c>
      <c r="J33" s="4">
        <f t="shared" si="11"/>
        <v>2.7272727272727271E-2</v>
      </c>
      <c r="K33" s="4">
        <f t="shared" si="11"/>
        <v>0.52500000000000002</v>
      </c>
      <c r="L33" s="4">
        <f t="shared" si="11"/>
        <v>1.6591112922951488</v>
      </c>
      <c r="M33" s="4">
        <f t="shared" si="11"/>
        <v>3.30142490738102</v>
      </c>
      <c r="N33" s="4">
        <f t="shared" si="11"/>
        <v>5.7648254698887618</v>
      </c>
      <c r="O33" s="4">
        <f t="shared" si="11"/>
        <v>8.0754569087758004</v>
      </c>
      <c r="P33" s="4">
        <f t="shared" si="11"/>
        <v>69.585422955864232</v>
      </c>
      <c r="T33" s="9"/>
    </row>
    <row r="34" spans="1:20" ht="12" customHeight="1" x14ac:dyDescent="0.3">
      <c r="B34" s="47" t="s">
        <v>44</v>
      </c>
      <c r="C34" s="47" t="s">
        <v>48</v>
      </c>
      <c r="D34" s="4">
        <f t="shared" ref="D34:P34" si="12">1000*D30/D13</f>
        <v>8.9533002839454454</v>
      </c>
      <c r="E34" s="4">
        <f t="shared" si="12"/>
        <v>6.7352158302798157</v>
      </c>
      <c r="F34" s="4">
        <f t="shared" si="12"/>
        <v>6.8586923095119827</v>
      </c>
      <c r="G34" s="4">
        <f t="shared" si="12"/>
        <v>6.1474806372765558</v>
      </c>
      <c r="H34" s="4">
        <f t="shared" si="12"/>
        <v>5.6723247512721207</v>
      </c>
      <c r="I34" s="4">
        <f t="shared" si="12"/>
        <v>17.645398080180691</v>
      </c>
      <c r="J34" s="4">
        <f t="shared" si="12"/>
        <v>2.1645021645021645</v>
      </c>
      <c r="K34" s="4">
        <f t="shared" si="12"/>
        <v>4.5289855072463769</v>
      </c>
      <c r="L34" s="4">
        <f t="shared" si="12"/>
        <v>3.2273406712868598</v>
      </c>
      <c r="M34" s="4">
        <f t="shared" si="12"/>
        <v>3.242795170694857</v>
      </c>
      <c r="N34" s="4">
        <f t="shared" si="12"/>
        <v>4.1745057567842379</v>
      </c>
      <c r="O34" s="4">
        <f t="shared" si="12"/>
        <v>4.6375490482942832</v>
      </c>
      <c r="P34" s="4">
        <f t="shared" si="12"/>
        <v>5.9439449997659706</v>
      </c>
      <c r="T34" s="9"/>
    </row>
    <row r="35" spans="1:20" ht="12" customHeight="1" x14ac:dyDescent="0.25"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4"/>
      <c r="T35" s="9"/>
    </row>
    <row r="36" spans="1:20" ht="12" customHeight="1" x14ac:dyDescent="0.25">
      <c r="A36" s="10" t="s">
        <v>49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T36" s="9"/>
    </row>
    <row r="37" spans="1:20" ht="12" customHeight="1" x14ac:dyDescent="0.25"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T37" s="9"/>
    </row>
    <row r="38" spans="1:20" ht="12" customHeight="1" x14ac:dyDescent="0.3">
      <c r="B38" s="47" t="s">
        <v>50</v>
      </c>
      <c r="D38" s="13">
        <v>5500</v>
      </c>
      <c r="E38" s="11" t="s">
        <v>26</v>
      </c>
      <c r="F38" s="51">
        <f>D38/$D$40</f>
        <v>0.50534053060755713</v>
      </c>
      <c r="G38" s="11" t="s">
        <v>51</v>
      </c>
      <c r="H38" s="4"/>
      <c r="I38" s="4"/>
      <c r="J38" s="4"/>
      <c r="K38" s="4">
        <f>'2007'!D34</f>
        <v>8566</v>
      </c>
      <c r="L38" s="11" t="s">
        <v>26</v>
      </c>
      <c r="M38" s="11" t="s">
        <v>52</v>
      </c>
      <c r="N38" s="4"/>
      <c r="O38" s="4"/>
      <c r="P38" s="4"/>
      <c r="T38" s="9"/>
    </row>
    <row r="39" spans="1:20" ht="12" customHeight="1" x14ac:dyDescent="0.25">
      <c r="B39" s="53" t="s">
        <v>53</v>
      </c>
      <c r="C39" s="53"/>
      <c r="D39" s="54">
        <f>K3*365</f>
        <v>5383.75</v>
      </c>
      <c r="E39" s="55" t="s">
        <v>26</v>
      </c>
      <c r="F39" s="51">
        <f>D39/$D$40</f>
        <v>0.49465946939244287</v>
      </c>
      <c r="G39" s="11" t="s">
        <v>54</v>
      </c>
      <c r="H39" s="4"/>
      <c r="I39" s="4"/>
      <c r="J39" s="4"/>
      <c r="K39" s="4">
        <f>K38-D38</f>
        <v>3066</v>
      </c>
      <c r="L39" s="11" t="s">
        <v>26</v>
      </c>
      <c r="M39" s="4"/>
      <c r="N39" s="13">
        <f>'2007'!I36</f>
        <v>14540</v>
      </c>
      <c r="O39" s="11" t="s">
        <v>26</v>
      </c>
      <c r="P39" s="4"/>
      <c r="T39" s="9"/>
    </row>
    <row r="40" spans="1:20" ht="12" customHeight="1" x14ac:dyDescent="0.3">
      <c r="B40" s="47" t="s">
        <v>22</v>
      </c>
      <c r="D40" s="13">
        <f>SUM(D38:D39)</f>
        <v>10883.75</v>
      </c>
      <c r="E40" s="11" t="s">
        <v>26</v>
      </c>
      <c r="F40" s="4"/>
      <c r="G40" s="11" t="s">
        <v>55</v>
      </c>
      <c r="H40" s="4"/>
      <c r="I40" s="4"/>
      <c r="J40" s="4"/>
      <c r="K40" s="51">
        <f>K39/K38</f>
        <v>0.35792668690170443</v>
      </c>
      <c r="L40" s="4"/>
      <c r="M40" s="4"/>
      <c r="N40" s="4"/>
      <c r="O40" s="4"/>
      <c r="P40" s="4"/>
      <c r="T40" s="9"/>
    </row>
    <row r="41" spans="1:20" ht="12" customHeight="1" x14ac:dyDescent="0.25">
      <c r="D41" s="4"/>
      <c r="E41" s="4"/>
      <c r="F41" s="4"/>
      <c r="G41" s="11" t="s">
        <v>56</v>
      </c>
      <c r="H41" s="4"/>
      <c r="I41" s="4"/>
      <c r="J41" s="4"/>
      <c r="K41" s="51">
        <f>K39/(SUM(D39)+K38)</f>
        <v>0.21978888510546785</v>
      </c>
      <c r="L41" s="4"/>
      <c r="M41" s="4"/>
      <c r="N41" s="4"/>
      <c r="O41" s="4"/>
      <c r="P41" s="4"/>
      <c r="T41" s="9"/>
    </row>
    <row r="42" spans="1:20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9"/>
    </row>
    <row r="43" spans="1:20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T43" s="9"/>
    </row>
    <row r="44" spans="1:20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T44" s="9"/>
    </row>
    <row r="45" spans="1:20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T45" s="9"/>
    </row>
    <row r="46" spans="1:20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T46" s="9"/>
    </row>
    <row r="47" spans="1:20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T47" s="9"/>
    </row>
    <row r="48" spans="1:20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T48" s="9"/>
    </row>
    <row r="49" spans="1:20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T49" s="9"/>
    </row>
    <row r="50" spans="1:20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T50" s="9"/>
    </row>
    <row r="51" spans="1:20" ht="12" customHeight="1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T51" s="9"/>
    </row>
    <row r="52" spans="1:20" ht="12" customHeight="1" x14ac:dyDescent="0.2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T52" s="9"/>
    </row>
    <row r="53" spans="1:20" ht="12" customHeight="1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T53" s="9"/>
    </row>
    <row r="54" spans="1:20" ht="12" customHeight="1" x14ac:dyDescent="0.2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T54" s="9"/>
    </row>
    <row r="55" spans="1:20" ht="12" customHeigh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T55" s="9"/>
    </row>
    <row r="56" spans="1:20" ht="12" customHeight="1" x14ac:dyDescent="0.2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T56" s="9"/>
    </row>
    <row r="57" spans="1:20" ht="12" customHeight="1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T57" s="9"/>
    </row>
    <row r="58" spans="1:20" ht="12" customHeight="1" x14ac:dyDescent="0.2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T58" s="9"/>
    </row>
    <row r="59" spans="1:20" ht="12" customHeight="1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T59" s="9"/>
    </row>
    <row r="60" spans="1:20" ht="12" customHeight="1" x14ac:dyDescent="0.2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T60" s="9"/>
    </row>
    <row r="61" spans="1:20" ht="12" customHeight="1" x14ac:dyDescent="0.2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T61" s="9"/>
    </row>
    <row r="62" spans="1:20" ht="12" customHeight="1" x14ac:dyDescent="0.2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T62" s="9"/>
    </row>
    <row r="63" spans="1:20" ht="12" customHeight="1" x14ac:dyDescent="0.3">
      <c r="A63" s="47" t="s">
        <v>70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T63" s="9"/>
    </row>
    <row r="64" spans="1:20" ht="12" customHeight="1" x14ac:dyDescent="0.2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T64" s="9"/>
    </row>
    <row r="65" spans="1:20" ht="12" customHeight="1" x14ac:dyDescent="0.3">
      <c r="A65" s="56">
        <v>39659</v>
      </c>
      <c r="B65" s="47">
        <v>183.22790000000001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T65" s="9"/>
    </row>
    <row r="66" spans="1:20" ht="12" customHeight="1" x14ac:dyDescent="0.3">
      <c r="A66" s="48">
        <v>39660</v>
      </c>
      <c r="B66" s="47">
        <v>187.48070000000001</v>
      </c>
      <c r="D66" s="47">
        <f>B66-B65</f>
        <v>4.2528000000000077</v>
      </c>
      <c r="E66" s="4" t="s">
        <v>82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T66" s="9"/>
    </row>
    <row r="67" spans="1:20" ht="12" customHeight="1" x14ac:dyDescent="0.3">
      <c r="A67" s="48">
        <v>39719</v>
      </c>
      <c r="B67" s="47">
        <v>191.35579999999999</v>
      </c>
      <c r="C67" s="47">
        <f>B67-B66</f>
        <v>3.8750999999999749</v>
      </c>
      <c r="D67" s="4">
        <f>C67/28*30</f>
        <v>4.1518928571428297</v>
      </c>
      <c r="E67" s="4" t="s">
        <v>83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T67" s="9"/>
    </row>
    <row r="68" spans="1:20" ht="12" customHeight="1" x14ac:dyDescent="0.3">
      <c r="A68" s="48">
        <v>39754</v>
      </c>
      <c r="B68" s="47">
        <v>195.5522</v>
      </c>
      <c r="C68" s="47">
        <f>B68-B67</f>
        <v>4.1964000000000112</v>
      </c>
      <c r="D68" s="4">
        <f>C68/35*31</f>
        <v>3.7168114285714382</v>
      </c>
      <c r="E68" s="4" t="s">
        <v>84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T68" s="9"/>
    </row>
    <row r="69" spans="1:20" ht="12" customHeight="1" x14ac:dyDescent="0.3">
      <c r="A69" s="48">
        <v>39807</v>
      </c>
      <c r="B69" s="47">
        <v>201.88659999999999</v>
      </c>
      <c r="C69" s="47">
        <f>B69-B68</f>
        <v>6.334399999999988</v>
      </c>
      <c r="D69" s="4">
        <f>C69/35*31</f>
        <v>5.6104685714285614</v>
      </c>
      <c r="E69" s="4" t="s">
        <v>71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T69" s="9"/>
    </row>
    <row r="70" spans="1:20" ht="12" customHeight="1" x14ac:dyDescent="0.25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T70" s="9"/>
    </row>
    <row r="71" spans="1:20" ht="12" customHeight="1" x14ac:dyDescent="0.25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T71" s="9"/>
    </row>
    <row r="72" spans="1:20" ht="12" customHeight="1" x14ac:dyDescent="0.25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T72" s="9"/>
    </row>
    <row r="73" spans="1:20" ht="12" customHeight="1" x14ac:dyDescent="0.25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T73" s="9"/>
    </row>
    <row r="74" spans="1:20" ht="12" customHeight="1" x14ac:dyDescent="0.2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T74" s="9"/>
    </row>
    <row r="75" spans="1:20" ht="12" customHeight="1" x14ac:dyDescent="0.25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T75" s="9"/>
    </row>
    <row r="76" spans="1:20" ht="12" customHeight="1" x14ac:dyDescent="0.2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T76" s="9"/>
    </row>
    <row r="77" spans="1:20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T77" s="9"/>
    </row>
    <row r="78" spans="1:20" ht="12" customHeight="1" x14ac:dyDescent="0.2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T78" s="9"/>
    </row>
    <row r="79" spans="1:20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T79" s="9"/>
    </row>
    <row r="80" spans="1:20" ht="12" customHeight="1" x14ac:dyDescent="0.2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T80" s="9"/>
    </row>
    <row r="81" spans="4:20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T81" s="9"/>
    </row>
    <row r="82" spans="4:20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T82" s="9"/>
    </row>
    <row r="83" spans="4:20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T83" s="9"/>
    </row>
    <row r="84" spans="4:20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T84" s="9"/>
    </row>
    <row r="85" spans="4:20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T85" s="9"/>
    </row>
    <row r="86" spans="4:20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T86" s="9"/>
    </row>
    <row r="87" spans="4:20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T87" s="9"/>
    </row>
    <row r="88" spans="4:20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T88" s="9"/>
    </row>
    <row r="89" spans="4:20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T89" s="9"/>
    </row>
    <row r="90" spans="4:20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T90" s="9"/>
    </row>
    <row r="91" spans="4:20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T91" s="9"/>
    </row>
    <row r="92" spans="4:20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T92" s="9"/>
    </row>
    <row r="93" spans="4:20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T93" s="9"/>
    </row>
    <row r="94" spans="4:20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T94" s="9"/>
    </row>
    <row r="95" spans="4:20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T95" s="9"/>
    </row>
    <row r="96" spans="4:20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T96" s="9"/>
    </row>
    <row r="97" spans="4:20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T97" s="9"/>
    </row>
    <row r="98" spans="4:20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T98" s="9"/>
    </row>
    <row r="99" spans="4:20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T99" s="9"/>
    </row>
    <row r="100" spans="4:20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T100" s="9"/>
    </row>
    <row r="101" spans="4:20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T101" s="9"/>
    </row>
    <row r="102" spans="4:20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T102" s="9"/>
    </row>
    <row r="103" spans="4:20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T103" s="9"/>
    </row>
    <row r="104" spans="4:20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T104" s="9"/>
    </row>
    <row r="105" spans="4:20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T105" s="9"/>
    </row>
    <row r="106" spans="4:20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T106" s="9"/>
    </row>
    <row r="107" spans="4:20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T107" s="9"/>
    </row>
    <row r="108" spans="4:20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T108" s="9"/>
    </row>
    <row r="109" spans="4:20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T109" s="9"/>
    </row>
    <row r="110" spans="4:20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T110" s="9"/>
    </row>
    <row r="111" spans="4:20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T111" s="9"/>
    </row>
    <row r="112" spans="4:20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T112" s="9"/>
    </row>
    <row r="113" spans="4:20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T113" s="9"/>
    </row>
    <row r="114" spans="4:20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T114" s="9"/>
    </row>
    <row r="115" spans="4:20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T115" s="9"/>
    </row>
    <row r="116" spans="4:20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T116" s="9"/>
    </row>
    <row r="117" spans="4:20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T117" s="9"/>
    </row>
    <row r="118" spans="4:20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T118" s="9"/>
    </row>
    <row r="119" spans="4:20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T119" s="9"/>
    </row>
    <row r="120" spans="4:20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T120" s="9"/>
    </row>
    <row r="121" spans="4:20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T121" s="9"/>
    </row>
    <row r="122" spans="4:20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T122" s="9"/>
    </row>
    <row r="123" spans="4:20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T123" s="9"/>
    </row>
    <row r="124" spans="4:20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T124" s="9"/>
    </row>
    <row r="125" spans="4:20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T125" s="9"/>
    </row>
    <row r="126" spans="4:20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T126" s="9"/>
    </row>
    <row r="127" spans="4:20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T127" s="9"/>
    </row>
    <row r="128" spans="4:20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T128" s="9"/>
    </row>
    <row r="129" spans="4:20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T129" s="9"/>
    </row>
    <row r="130" spans="4:20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T130" s="9"/>
    </row>
    <row r="131" spans="4:20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T131" s="9"/>
    </row>
    <row r="132" spans="4:20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T132" s="9"/>
    </row>
    <row r="133" spans="4:20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T133" s="9"/>
    </row>
    <row r="134" spans="4:20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T134" s="9"/>
    </row>
    <row r="135" spans="4:20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T135" s="9"/>
    </row>
    <row r="136" spans="4:20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T136" s="9"/>
    </row>
    <row r="137" spans="4:20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T137" s="9"/>
    </row>
    <row r="138" spans="4:20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T138" s="9"/>
    </row>
    <row r="139" spans="4:20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T139" s="9"/>
    </row>
    <row r="140" spans="4:20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T140" s="9"/>
    </row>
    <row r="141" spans="4:20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T141" s="9"/>
    </row>
    <row r="142" spans="4:20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T142" s="9"/>
    </row>
    <row r="143" spans="4:20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T143" s="9"/>
    </row>
    <row r="144" spans="4:20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T144" s="9"/>
    </row>
    <row r="145" spans="4:20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T145" s="9"/>
    </row>
    <row r="146" spans="4:20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T146" s="9"/>
    </row>
    <row r="147" spans="4:20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T147" s="9"/>
    </row>
    <row r="148" spans="4:20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T148" s="9"/>
    </row>
    <row r="149" spans="4:20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T149" s="9"/>
    </row>
    <row r="150" spans="4:20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T150" s="9"/>
    </row>
    <row r="151" spans="4:20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T151" s="9"/>
    </row>
    <row r="152" spans="4:20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T152" s="9"/>
    </row>
    <row r="153" spans="4:20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T153" s="9"/>
    </row>
    <row r="154" spans="4:20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T154" s="9"/>
    </row>
    <row r="155" spans="4:20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T155" s="9"/>
    </row>
    <row r="156" spans="4:20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T156" s="9"/>
    </row>
    <row r="157" spans="4:20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T157" s="9"/>
    </row>
    <row r="158" spans="4:20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T158" s="9"/>
    </row>
    <row r="159" spans="4:20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T159" s="9"/>
    </row>
    <row r="160" spans="4:20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T160" s="9"/>
    </row>
    <row r="161" spans="4:20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T161" s="9"/>
    </row>
    <row r="162" spans="4:20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T162" s="9"/>
    </row>
    <row r="163" spans="4:20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T163" s="9"/>
    </row>
    <row r="164" spans="4:20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T164" s="9"/>
    </row>
    <row r="165" spans="4:20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T165" s="9"/>
    </row>
    <row r="166" spans="4:20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T166" s="9"/>
    </row>
    <row r="167" spans="4:20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T167" s="9"/>
    </row>
    <row r="168" spans="4:20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T168" s="9"/>
    </row>
    <row r="169" spans="4:20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T169" s="9"/>
    </row>
    <row r="170" spans="4:20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T170" s="9"/>
    </row>
    <row r="171" spans="4:20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T171" s="9"/>
    </row>
    <row r="172" spans="4:20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T172" s="9"/>
    </row>
    <row r="173" spans="4:20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T173" s="9"/>
    </row>
    <row r="174" spans="4:20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T174" s="9"/>
    </row>
    <row r="175" spans="4:20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T175" s="9"/>
    </row>
    <row r="176" spans="4:20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T176" s="9"/>
    </row>
    <row r="177" spans="4:20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T177" s="9"/>
    </row>
    <row r="178" spans="4:20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T178" s="9"/>
    </row>
    <row r="179" spans="4:20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T179" s="9"/>
    </row>
    <row r="180" spans="4:20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T180" s="9"/>
    </row>
    <row r="181" spans="4:20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T181" s="9"/>
    </row>
    <row r="182" spans="4:20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T182" s="9"/>
    </row>
    <row r="183" spans="4:20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T183" s="9"/>
    </row>
    <row r="184" spans="4:20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T184" s="9"/>
    </row>
    <row r="185" spans="4:20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T185" s="9"/>
    </row>
    <row r="186" spans="4:20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T186" s="9"/>
    </row>
    <row r="187" spans="4:20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T187" s="9"/>
    </row>
    <row r="188" spans="4:20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T188" s="9"/>
    </row>
    <row r="189" spans="4:20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T189" s="9"/>
    </row>
    <row r="190" spans="4:20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T190" s="9"/>
    </row>
    <row r="191" spans="4:20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T191" s="9"/>
    </row>
    <row r="192" spans="4:20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T192" s="9"/>
    </row>
    <row r="193" spans="4:20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T193" s="9"/>
    </row>
    <row r="194" spans="4:20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T194" s="9"/>
    </row>
    <row r="195" spans="4:20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T195" s="9"/>
    </row>
    <row r="196" spans="4:20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T196" s="9"/>
    </row>
    <row r="197" spans="4:20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T197" s="9"/>
    </row>
    <row r="198" spans="4:20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T198" s="9"/>
    </row>
    <row r="199" spans="4:20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T199" s="9"/>
    </row>
    <row r="200" spans="4:20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T200" s="9"/>
    </row>
    <row r="201" spans="4:20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T201" s="9"/>
    </row>
    <row r="202" spans="4:20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T202" s="9"/>
    </row>
    <row r="203" spans="4:20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T203" s="9"/>
    </row>
    <row r="204" spans="4:20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T204" s="9"/>
    </row>
    <row r="205" spans="4:20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T205" s="9"/>
    </row>
    <row r="206" spans="4:20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T206" s="9"/>
    </row>
    <row r="207" spans="4:20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T207" s="9"/>
    </row>
    <row r="208" spans="4:20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T208" s="9"/>
    </row>
    <row r="209" spans="4:20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T209" s="9"/>
    </row>
    <row r="210" spans="4:20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T210" s="9"/>
    </row>
    <row r="211" spans="4:20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T211" s="9"/>
    </row>
    <row r="212" spans="4:20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T212" s="9"/>
    </row>
    <row r="213" spans="4:20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T213" s="9"/>
    </row>
    <row r="214" spans="4:20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T214" s="9"/>
    </row>
    <row r="215" spans="4:20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T215" s="9"/>
    </row>
    <row r="216" spans="4:20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T216" s="9"/>
    </row>
    <row r="217" spans="4:20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T217" s="9"/>
    </row>
    <row r="218" spans="4:20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T218" s="9"/>
    </row>
    <row r="219" spans="4:20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T219" s="9"/>
    </row>
    <row r="220" spans="4:20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T220" s="9"/>
    </row>
    <row r="221" spans="4:20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T221" s="9"/>
    </row>
    <row r="222" spans="4:20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T222" s="9"/>
    </row>
    <row r="223" spans="4:20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T223" s="9"/>
    </row>
    <row r="224" spans="4:20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T224" s="9"/>
    </row>
    <row r="225" spans="4:20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T225" s="9"/>
    </row>
    <row r="226" spans="4:20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T226" s="9"/>
    </row>
    <row r="227" spans="4:20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T227" s="9"/>
    </row>
    <row r="228" spans="4:20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T228" s="9"/>
    </row>
    <row r="229" spans="4:20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T229" s="9"/>
    </row>
    <row r="230" spans="4:20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T230" s="9"/>
    </row>
    <row r="231" spans="4:20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T231" s="9"/>
    </row>
    <row r="232" spans="4:20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T232" s="9"/>
    </row>
    <row r="233" spans="4:20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T233" s="9"/>
    </row>
    <row r="234" spans="4:20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T234" s="9"/>
    </row>
    <row r="235" spans="4:20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T235" s="9"/>
    </row>
    <row r="236" spans="4:20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T236" s="9"/>
    </row>
    <row r="237" spans="4:20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T237" s="9"/>
    </row>
    <row r="238" spans="4:20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T238" s="9"/>
    </row>
    <row r="239" spans="4:20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T239" s="9"/>
    </row>
    <row r="240" spans="4:20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T240" s="9"/>
    </row>
    <row r="241" spans="4:20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T241" s="9"/>
    </row>
    <row r="242" spans="4:20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T242" s="9"/>
    </row>
    <row r="243" spans="4:20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T243" s="9"/>
    </row>
    <row r="244" spans="4:20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T244" s="9"/>
    </row>
    <row r="245" spans="4:20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T245" s="9"/>
    </row>
    <row r="246" spans="4:20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T246" s="9"/>
    </row>
    <row r="247" spans="4:20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T247" s="9"/>
    </row>
    <row r="248" spans="4:20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T248" s="9"/>
    </row>
    <row r="249" spans="4:20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T249" s="9"/>
    </row>
    <row r="250" spans="4:20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T250" s="9"/>
    </row>
    <row r="251" spans="4:20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T251" s="9"/>
    </row>
    <row r="252" spans="4:20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T252" s="9"/>
    </row>
    <row r="253" spans="4:20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T253" s="9"/>
    </row>
    <row r="254" spans="4:20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T254" s="9"/>
    </row>
    <row r="255" spans="4:20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T255" s="9"/>
    </row>
    <row r="256" spans="4:20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T256" s="9"/>
    </row>
    <row r="257" spans="4:20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T257" s="9"/>
    </row>
    <row r="258" spans="4:20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T258" s="9"/>
    </row>
    <row r="259" spans="4:20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T259" s="9"/>
    </row>
    <row r="260" spans="4:20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T260" s="9"/>
    </row>
    <row r="261" spans="4:20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T261" s="9"/>
    </row>
    <row r="262" spans="4:20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T262" s="9"/>
    </row>
    <row r="263" spans="4:20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T263" s="9"/>
    </row>
    <row r="264" spans="4:20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T264" s="9"/>
    </row>
    <row r="265" spans="4:20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T265" s="9"/>
    </row>
    <row r="266" spans="4:20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T266" s="9"/>
    </row>
    <row r="267" spans="4:20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T267" s="9"/>
    </row>
    <row r="268" spans="4:20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T268" s="9"/>
    </row>
    <row r="269" spans="4:20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T269" s="9"/>
    </row>
    <row r="270" spans="4:20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T270" s="9"/>
    </row>
    <row r="271" spans="4:20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T271" s="9"/>
    </row>
    <row r="272" spans="4:20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T272" s="9"/>
    </row>
    <row r="273" spans="4:20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T273" s="9"/>
    </row>
    <row r="274" spans="4:20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T274" s="9"/>
    </row>
    <row r="275" spans="4:20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T275" s="9"/>
    </row>
    <row r="276" spans="4:20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T276" s="9"/>
    </row>
    <row r="277" spans="4:20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T277" s="9"/>
    </row>
    <row r="278" spans="4:20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T278" s="9"/>
    </row>
    <row r="279" spans="4:20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T279" s="9"/>
    </row>
    <row r="280" spans="4:20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T280" s="9"/>
    </row>
    <row r="281" spans="4:20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T281" s="9"/>
    </row>
    <row r="282" spans="4:20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T282" s="9"/>
    </row>
    <row r="283" spans="4:20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T283" s="9"/>
    </row>
    <row r="284" spans="4:20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T284" s="9"/>
    </row>
    <row r="285" spans="4:20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T285" s="9"/>
    </row>
    <row r="286" spans="4:20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T286" s="9"/>
    </row>
    <row r="287" spans="4:20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T287" s="9"/>
    </row>
    <row r="288" spans="4:20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T288" s="9"/>
    </row>
    <row r="289" spans="4:20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T289" s="9"/>
    </row>
    <row r="290" spans="4:20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T290" s="9"/>
    </row>
    <row r="291" spans="4:20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T291" s="9"/>
    </row>
    <row r="292" spans="4:20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T292" s="9"/>
    </row>
    <row r="293" spans="4:20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T293" s="9"/>
    </row>
    <row r="294" spans="4:20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T294" s="9"/>
    </row>
    <row r="295" spans="4:20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T295" s="9"/>
    </row>
    <row r="296" spans="4:20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T296" s="9"/>
    </row>
    <row r="297" spans="4:20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T297" s="9"/>
    </row>
    <row r="298" spans="4:20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T298" s="9"/>
    </row>
    <row r="299" spans="4:20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T299" s="9"/>
    </row>
    <row r="300" spans="4:20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T300" s="9"/>
    </row>
    <row r="301" spans="4:20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T301" s="9"/>
    </row>
    <row r="302" spans="4:20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T302" s="9"/>
    </row>
    <row r="303" spans="4:20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T303" s="9"/>
    </row>
    <row r="304" spans="4:20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T304" s="9"/>
    </row>
    <row r="305" spans="4:20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T305" s="9"/>
    </row>
    <row r="306" spans="4:20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T306" s="9"/>
    </row>
    <row r="307" spans="4:20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T307" s="9"/>
    </row>
    <row r="308" spans="4:20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T308" s="9"/>
    </row>
    <row r="309" spans="4:20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T309" s="9"/>
    </row>
    <row r="310" spans="4:20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T310" s="9"/>
    </row>
    <row r="311" spans="4:20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T311" s="9"/>
    </row>
    <row r="312" spans="4:20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T312" s="9"/>
    </row>
    <row r="313" spans="4:20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T313" s="9"/>
    </row>
    <row r="314" spans="4:20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T314" s="9"/>
    </row>
    <row r="315" spans="4:20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T315" s="9"/>
    </row>
    <row r="316" spans="4:20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T316" s="9"/>
    </row>
    <row r="317" spans="4:20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T317" s="9"/>
    </row>
    <row r="318" spans="4:20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T318" s="9"/>
    </row>
    <row r="319" spans="4:20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T319" s="9"/>
    </row>
    <row r="320" spans="4:20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T320" s="9"/>
    </row>
    <row r="321" spans="4:20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T321" s="9"/>
    </row>
    <row r="322" spans="4:20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T322" s="9"/>
    </row>
    <row r="323" spans="4:20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T323" s="9"/>
    </row>
    <row r="324" spans="4:20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T324" s="9"/>
    </row>
    <row r="325" spans="4:20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T325" s="9"/>
    </row>
    <row r="326" spans="4:20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T326" s="9"/>
    </row>
    <row r="327" spans="4:20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T327" s="9"/>
    </row>
    <row r="328" spans="4:20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T328" s="9"/>
    </row>
    <row r="329" spans="4:20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T329" s="9"/>
    </row>
    <row r="330" spans="4:20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T330" s="9"/>
    </row>
    <row r="331" spans="4:20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T331" s="9"/>
    </row>
    <row r="332" spans="4:20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T332" s="9"/>
    </row>
    <row r="333" spans="4:20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T333" s="9"/>
    </row>
    <row r="334" spans="4:20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T334" s="9"/>
    </row>
    <row r="335" spans="4:20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T335" s="9"/>
    </row>
    <row r="336" spans="4:20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T336" s="9"/>
    </row>
    <row r="337" spans="4:20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T337" s="9"/>
    </row>
    <row r="338" spans="4:20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T338" s="9"/>
    </row>
    <row r="339" spans="4:20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T339" s="9"/>
    </row>
    <row r="340" spans="4:20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T340" s="9"/>
    </row>
    <row r="341" spans="4:20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T341" s="9"/>
    </row>
    <row r="342" spans="4:20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T342" s="9"/>
    </row>
    <row r="343" spans="4:20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T343" s="9"/>
    </row>
    <row r="344" spans="4:20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T344" s="9"/>
    </row>
    <row r="345" spans="4:20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T345" s="9"/>
    </row>
    <row r="346" spans="4:20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T346" s="9"/>
    </row>
    <row r="347" spans="4:20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T347" s="9"/>
    </row>
    <row r="348" spans="4:20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T348" s="9"/>
    </row>
    <row r="349" spans="4:20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T349" s="9"/>
    </row>
    <row r="350" spans="4:20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T350" s="9"/>
    </row>
    <row r="351" spans="4:20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T351" s="9"/>
    </row>
    <row r="352" spans="4:20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T352" s="9"/>
    </row>
    <row r="353" spans="4:20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T353" s="9"/>
    </row>
    <row r="354" spans="4:20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T354" s="9"/>
    </row>
    <row r="355" spans="4:20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T355" s="9"/>
    </row>
    <row r="356" spans="4:20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T356" s="9"/>
    </row>
    <row r="357" spans="4:20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T357" s="9"/>
    </row>
    <row r="358" spans="4:20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T358" s="9"/>
    </row>
    <row r="359" spans="4:20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T359" s="9"/>
    </row>
    <row r="360" spans="4:20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T360" s="9"/>
    </row>
    <row r="361" spans="4:20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T361" s="9"/>
    </row>
    <row r="362" spans="4:20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T362" s="9"/>
    </row>
    <row r="363" spans="4:20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T363" s="9"/>
    </row>
    <row r="364" spans="4:20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T364" s="9"/>
    </row>
    <row r="365" spans="4:20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T365" s="9"/>
    </row>
    <row r="366" spans="4:20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T366" s="9"/>
    </row>
    <row r="367" spans="4:20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T367" s="9"/>
    </row>
    <row r="368" spans="4:20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T368" s="9"/>
    </row>
    <row r="369" spans="4:20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T369" s="9"/>
    </row>
    <row r="370" spans="4:20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T370" s="9"/>
    </row>
    <row r="371" spans="4:20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T371" s="9"/>
    </row>
    <row r="372" spans="4:20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T372" s="9"/>
    </row>
    <row r="373" spans="4:20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T373" s="9"/>
    </row>
    <row r="374" spans="4:20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T374" s="9"/>
    </row>
    <row r="375" spans="4:20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T375" s="9"/>
    </row>
    <row r="376" spans="4:20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T376" s="9"/>
    </row>
    <row r="377" spans="4:20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T377" s="9"/>
    </row>
    <row r="378" spans="4:20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T378" s="9"/>
    </row>
    <row r="379" spans="4:20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T379" s="9"/>
    </row>
    <row r="380" spans="4:20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T380" s="9"/>
    </row>
    <row r="381" spans="4:20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T381" s="9"/>
    </row>
    <row r="382" spans="4:20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T382" s="9"/>
    </row>
    <row r="383" spans="4:20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T383" s="9"/>
    </row>
    <row r="384" spans="4:20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T384" s="9"/>
    </row>
    <row r="385" spans="4:20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T385" s="9"/>
    </row>
    <row r="386" spans="4:20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T386" s="9"/>
    </row>
    <row r="387" spans="4:20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T387" s="9"/>
    </row>
    <row r="388" spans="4:20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T388" s="9"/>
    </row>
    <row r="389" spans="4:20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T389" s="9"/>
    </row>
    <row r="390" spans="4:20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T390" s="9"/>
    </row>
    <row r="391" spans="4:20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T391" s="9"/>
    </row>
    <row r="392" spans="4:20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T392" s="9"/>
    </row>
    <row r="393" spans="4:20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T393" s="9"/>
    </row>
    <row r="394" spans="4:20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T394" s="9"/>
    </row>
    <row r="395" spans="4:20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T395" s="9"/>
    </row>
    <row r="396" spans="4:20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T396" s="9"/>
    </row>
    <row r="397" spans="4:20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T397" s="9"/>
    </row>
    <row r="398" spans="4:20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T398" s="9"/>
    </row>
    <row r="399" spans="4:20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T399" s="9"/>
    </row>
    <row r="400" spans="4:20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T400" s="9"/>
    </row>
    <row r="401" spans="4:20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T401" s="9"/>
    </row>
    <row r="402" spans="4:20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T402" s="9"/>
    </row>
    <row r="403" spans="4:20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T403" s="9"/>
    </row>
    <row r="404" spans="4:20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T404" s="9"/>
    </row>
    <row r="405" spans="4:20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T405" s="9"/>
    </row>
    <row r="406" spans="4:20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T406" s="9"/>
    </row>
    <row r="407" spans="4:20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T407" s="9"/>
    </row>
    <row r="408" spans="4:20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T408" s="9"/>
    </row>
    <row r="409" spans="4:20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T409" s="9"/>
    </row>
    <row r="410" spans="4:20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T410" s="9"/>
    </row>
    <row r="411" spans="4:20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T411" s="9"/>
    </row>
    <row r="412" spans="4:20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T412" s="9"/>
    </row>
    <row r="413" spans="4:20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T413" s="9"/>
    </row>
    <row r="414" spans="4:20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T414" s="9"/>
    </row>
    <row r="415" spans="4:20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T415" s="9"/>
    </row>
    <row r="416" spans="4:20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T416" s="9"/>
    </row>
    <row r="417" spans="4:20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T417" s="9"/>
    </row>
    <row r="418" spans="4:20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T418" s="9"/>
    </row>
    <row r="419" spans="4:20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T419" s="9"/>
    </row>
    <row r="420" spans="4:20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T420" s="9"/>
    </row>
    <row r="421" spans="4:20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T421" s="9"/>
    </row>
    <row r="422" spans="4:20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T422" s="9"/>
    </row>
    <row r="423" spans="4:20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T423" s="9"/>
    </row>
    <row r="424" spans="4:20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T424" s="9"/>
    </row>
    <row r="425" spans="4:20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T425" s="9"/>
    </row>
    <row r="426" spans="4:20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T426" s="9"/>
    </row>
    <row r="427" spans="4:20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T427" s="9"/>
    </row>
    <row r="428" spans="4:20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T428" s="9"/>
    </row>
    <row r="429" spans="4:20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T429" s="9"/>
    </row>
    <row r="430" spans="4:20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T430" s="9"/>
    </row>
    <row r="431" spans="4:20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T431" s="9"/>
    </row>
    <row r="432" spans="4:20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T432" s="9"/>
    </row>
    <row r="433" spans="4:20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T433" s="9"/>
    </row>
    <row r="434" spans="4:20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T434" s="9"/>
    </row>
    <row r="435" spans="4:20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T435" s="9"/>
    </row>
    <row r="436" spans="4:20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T436" s="9"/>
    </row>
    <row r="437" spans="4:20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T437" s="9"/>
    </row>
    <row r="438" spans="4:20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T438" s="9"/>
    </row>
    <row r="439" spans="4:20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T439" s="9"/>
    </row>
    <row r="440" spans="4:20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T440" s="9"/>
    </row>
    <row r="441" spans="4:20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T441" s="9"/>
    </row>
    <row r="442" spans="4:20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T442" s="9"/>
    </row>
    <row r="443" spans="4:20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T443" s="9"/>
    </row>
    <row r="444" spans="4:20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T444" s="9"/>
    </row>
    <row r="445" spans="4:20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T445" s="9"/>
    </row>
    <row r="446" spans="4:20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T446" s="9"/>
    </row>
    <row r="447" spans="4:20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T447" s="9"/>
    </row>
    <row r="448" spans="4:20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T448" s="9"/>
    </row>
    <row r="449" spans="4:20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T449" s="9"/>
    </row>
    <row r="450" spans="4:20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T450" s="9"/>
    </row>
    <row r="451" spans="4:20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T451" s="9"/>
    </row>
    <row r="452" spans="4:20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T452" s="9"/>
    </row>
    <row r="453" spans="4:20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T453" s="9"/>
    </row>
    <row r="454" spans="4:20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T454" s="9"/>
    </row>
    <row r="455" spans="4:20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T455" s="9"/>
    </row>
    <row r="456" spans="4:20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T456" s="9"/>
    </row>
    <row r="457" spans="4:20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T457" s="9"/>
    </row>
    <row r="458" spans="4:20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T458" s="9"/>
    </row>
    <row r="459" spans="4:20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T459" s="9"/>
    </row>
    <row r="460" spans="4:20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T460" s="9"/>
    </row>
    <row r="461" spans="4:20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T461" s="9"/>
    </row>
    <row r="462" spans="4:20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T462" s="9"/>
    </row>
    <row r="463" spans="4:20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T463" s="9"/>
    </row>
    <row r="464" spans="4:20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T464" s="9"/>
    </row>
    <row r="465" spans="4:20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T465" s="9"/>
    </row>
    <row r="466" spans="4:20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T466" s="9"/>
    </row>
    <row r="467" spans="4:20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T467" s="9"/>
    </row>
    <row r="468" spans="4:20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T468" s="9"/>
    </row>
    <row r="469" spans="4:20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T469" s="9"/>
    </row>
    <row r="470" spans="4:20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T470" s="9"/>
    </row>
    <row r="471" spans="4:20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T471" s="9"/>
    </row>
    <row r="472" spans="4:20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T472" s="9"/>
    </row>
    <row r="473" spans="4:20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T473" s="9"/>
    </row>
    <row r="474" spans="4:20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T474" s="9"/>
    </row>
    <row r="475" spans="4:20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T475" s="9"/>
    </row>
    <row r="476" spans="4:20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T476" s="9"/>
    </row>
    <row r="477" spans="4:20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T477" s="9"/>
    </row>
    <row r="478" spans="4:20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T478" s="9"/>
    </row>
    <row r="479" spans="4:20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T479" s="9"/>
    </row>
    <row r="480" spans="4:20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T480" s="9"/>
    </row>
    <row r="481" spans="4:20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T481" s="9"/>
    </row>
    <row r="482" spans="4:20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T482" s="9"/>
    </row>
    <row r="483" spans="4:20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T483" s="9"/>
    </row>
    <row r="484" spans="4:20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T484" s="9"/>
    </row>
    <row r="485" spans="4:20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T485" s="9"/>
    </row>
    <row r="486" spans="4:20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T486" s="9"/>
    </row>
    <row r="487" spans="4:20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T487" s="9"/>
    </row>
    <row r="488" spans="4:20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T488" s="9"/>
    </row>
    <row r="489" spans="4:20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T489" s="9"/>
    </row>
    <row r="490" spans="4:20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T490" s="9"/>
    </row>
    <row r="491" spans="4:20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T491" s="9"/>
    </row>
    <row r="492" spans="4:20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T492" s="9"/>
    </row>
    <row r="493" spans="4:20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T493" s="9"/>
    </row>
    <row r="494" spans="4:20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T494" s="9"/>
    </row>
    <row r="495" spans="4:20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T495" s="9"/>
    </row>
    <row r="496" spans="4:20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T496" s="9"/>
    </row>
    <row r="497" spans="4:20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T497" s="9"/>
    </row>
    <row r="498" spans="4:20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T498" s="9"/>
    </row>
    <row r="499" spans="4:20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T499" s="9"/>
    </row>
    <row r="500" spans="4:20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T500" s="9"/>
    </row>
    <row r="501" spans="4:20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T501" s="9"/>
    </row>
    <row r="502" spans="4:20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T502" s="9"/>
    </row>
    <row r="503" spans="4:20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T503" s="9"/>
    </row>
    <row r="504" spans="4:20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T504" s="9"/>
    </row>
    <row r="505" spans="4:20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T505" s="9"/>
    </row>
    <row r="506" spans="4:20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T506" s="9"/>
    </row>
    <row r="507" spans="4:20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T507" s="9"/>
    </row>
    <row r="508" spans="4:20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T508" s="9"/>
    </row>
    <row r="509" spans="4:20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T509" s="9"/>
    </row>
    <row r="510" spans="4:20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T510" s="9"/>
    </row>
    <row r="511" spans="4:20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T511" s="9"/>
    </row>
    <row r="512" spans="4:20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T512" s="9"/>
    </row>
    <row r="513" spans="4:20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T513" s="9"/>
    </row>
    <row r="514" spans="4:20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T514" s="9"/>
    </row>
    <row r="515" spans="4:20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T515" s="9"/>
    </row>
    <row r="516" spans="4:20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T516" s="9"/>
    </row>
    <row r="517" spans="4:20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T517" s="9"/>
    </row>
    <row r="518" spans="4:20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T518" s="9"/>
    </row>
    <row r="519" spans="4:20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T519" s="9"/>
    </row>
    <row r="520" spans="4:20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T520" s="9"/>
    </row>
    <row r="521" spans="4:20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T521" s="9"/>
    </row>
    <row r="522" spans="4:20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T522" s="9"/>
    </row>
    <row r="523" spans="4:20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T523" s="9"/>
    </row>
    <row r="524" spans="4:20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T524" s="9"/>
    </row>
    <row r="525" spans="4:20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T525" s="9"/>
    </row>
    <row r="526" spans="4:20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T526" s="9"/>
    </row>
    <row r="527" spans="4:20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T527" s="9"/>
    </row>
    <row r="528" spans="4:20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T528" s="9"/>
    </row>
    <row r="529" spans="4:20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T529" s="9"/>
    </row>
    <row r="530" spans="4:20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T530" s="9"/>
    </row>
    <row r="531" spans="4:20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T531" s="9"/>
    </row>
    <row r="532" spans="4:20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T532" s="9"/>
    </row>
    <row r="533" spans="4:20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T533" s="9"/>
    </row>
    <row r="534" spans="4:20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T534" s="9"/>
    </row>
    <row r="535" spans="4:20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T535" s="9"/>
    </row>
    <row r="536" spans="4:20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T536" s="9"/>
    </row>
    <row r="537" spans="4:20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T537" s="9"/>
    </row>
    <row r="538" spans="4:20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T538" s="9"/>
    </row>
    <row r="539" spans="4:20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T539" s="9"/>
    </row>
    <row r="540" spans="4:20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T540" s="9"/>
    </row>
    <row r="541" spans="4:20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T541" s="9"/>
    </row>
    <row r="542" spans="4:20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T542" s="9"/>
    </row>
    <row r="543" spans="4:20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T543" s="9"/>
    </row>
    <row r="544" spans="4:20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T544" s="9"/>
    </row>
    <row r="545" spans="4:20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T545" s="9"/>
    </row>
    <row r="546" spans="4:20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T546" s="9"/>
    </row>
    <row r="547" spans="4:20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T547" s="9"/>
    </row>
    <row r="548" spans="4:20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T548" s="9"/>
    </row>
    <row r="549" spans="4:20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T549" s="9"/>
    </row>
    <row r="550" spans="4:20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T550" s="9"/>
    </row>
    <row r="551" spans="4:20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T551" s="9"/>
    </row>
    <row r="552" spans="4:20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T552" s="9"/>
    </row>
    <row r="553" spans="4:20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T553" s="9"/>
    </row>
    <row r="554" spans="4:20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T554" s="9"/>
    </row>
    <row r="555" spans="4:20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T555" s="9"/>
    </row>
    <row r="556" spans="4:20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T556" s="9"/>
    </row>
    <row r="557" spans="4:20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T557" s="9"/>
    </row>
    <row r="558" spans="4:20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T558" s="9"/>
    </row>
    <row r="559" spans="4:20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T559" s="9"/>
    </row>
    <row r="560" spans="4:20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T560" s="9"/>
    </row>
    <row r="561" spans="4:20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T561" s="9"/>
    </row>
    <row r="562" spans="4:20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T562" s="9"/>
    </row>
    <row r="563" spans="4:20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T563" s="9"/>
    </row>
    <row r="564" spans="4:20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T564" s="9"/>
    </row>
    <row r="565" spans="4:20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T565" s="9"/>
    </row>
    <row r="566" spans="4:20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T566" s="9"/>
    </row>
    <row r="567" spans="4:20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T567" s="9"/>
    </row>
    <row r="568" spans="4:20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T568" s="9"/>
    </row>
    <row r="569" spans="4:20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T569" s="9"/>
    </row>
    <row r="570" spans="4:20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T570" s="9"/>
    </row>
    <row r="571" spans="4:20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T571" s="9"/>
    </row>
    <row r="572" spans="4:20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T572" s="9"/>
    </row>
    <row r="573" spans="4:20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T573" s="9"/>
    </row>
    <row r="574" spans="4:20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T574" s="9"/>
    </row>
    <row r="575" spans="4:20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T575" s="9"/>
    </row>
    <row r="576" spans="4:20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T576" s="9"/>
    </row>
    <row r="577" spans="4:20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T577" s="9"/>
    </row>
    <row r="578" spans="4:20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T578" s="9"/>
    </row>
    <row r="579" spans="4:20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T579" s="9"/>
    </row>
    <row r="580" spans="4:20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T580" s="9"/>
    </row>
    <row r="581" spans="4:20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T581" s="9"/>
    </row>
    <row r="582" spans="4:20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T582" s="9"/>
    </row>
    <row r="583" spans="4:20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T583" s="9"/>
    </row>
    <row r="584" spans="4:20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T584" s="9"/>
    </row>
    <row r="585" spans="4:20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T585" s="9"/>
    </row>
    <row r="586" spans="4:20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T586" s="9"/>
    </row>
    <row r="587" spans="4:20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T587" s="9"/>
    </row>
    <row r="588" spans="4:20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T588" s="9"/>
    </row>
    <row r="589" spans="4:20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T589" s="9"/>
    </row>
    <row r="590" spans="4:20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T590" s="9"/>
    </row>
    <row r="591" spans="4:20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T591" s="9"/>
    </row>
    <row r="592" spans="4:20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T592" s="9"/>
    </row>
    <row r="593" spans="4:20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T593" s="9"/>
    </row>
    <row r="594" spans="4:20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T594" s="9"/>
    </row>
    <row r="595" spans="4:20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T595" s="9"/>
    </row>
    <row r="596" spans="4:20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T596" s="9"/>
    </row>
    <row r="597" spans="4:20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T597" s="9"/>
    </row>
    <row r="598" spans="4:20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T598" s="9"/>
    </row>
    <row r="599" spans="4:20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T599" s="9"/>
    </row>
    <row r="600" spans="4:20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T600" s="9"/>
    </row>
    <row r="601" spans="4:20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T601" s="9"/>
    </row>
    <row r="602" spans="4:20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T602" s="9"/>
    </row>
    <row r="603" spans="4:20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T603" s="9"/>
    </row>
    <row r="604" spans="4:20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T604" s="9"/>
    </row>
    <row r="605" spans="4:20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T605" s="9"/>
    </row>
    <row r="606" spans="4:20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T606" s="9"/>
    </row>
    <row r="607" spans="4:20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T607" s="9"/>
    </row>
    <row r="608" spans="4:20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T608" s="9"/>
    </row>
    <row r="609" spans="4:20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T609" s="9"/>
    </row>
    <row r="610" spans="4:20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T610" s="9"/>
    </row>
    <row r="611" spans="4:20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T611" s="9"/>
    </row>
    <row r="612" spans="4:20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T612" s="9"/>
    </row>
    <row r="613" spans="4:20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T613" s="9"/>
    </row>
    <row r="614" spans="4:20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T614" s="9"/>
    </row>
    <row r="615" spans="4:20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T615" s="9"/>
    </row>
    <row r="616" spans="4:20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T616" s="9"/>
    </row>
    <row r="617" spans="4:20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T617" s="9"/>
    </row>
    <row r="618" spans="4:20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T618" s="9"/>
    </row>
    <row r="619" spans="4:20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T619" s="9"/>
    </row>
    <row r="620" spans="4:20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T620" s="9"/>
    </row>
    <row r="621" spans="4:20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T621" s="9"/>
    </row>
    <row r="622" spans="4:20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T622" s="9"/>
    </row>
    <row r="623" spans="4:20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T623" s="9"/>
    </row>
    <row r="624" spans="4:20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T624" s="9"/>
    </row>
    <row r="625" spans="4:20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T625" s="9"/>
    </row>
    <row r="626" spans="4:20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T626" s="9"/>
    </row>
    <row r="627" spans="4:20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T627" s="9"/>
    </row>
    <row r="628" spans="4:20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T628" s="9"/>
    </row>
    <row r="629" spans="4:20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T629" s="9"/>
    </row>
    <row r="630" spans="4:20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T630" s="9"/>
    </row>
    <row r="631" spans="4:20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T631" s="9"/>
    </row>
    <row r="632" spans="4:20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T632" s="9"/>
    </row>
    <row r="633" spans="4:20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T633" s="9"/>
    </row>
    <row r="634" spans="4:20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T634" s="9"/>
    </row>
    <row r="635" spans="4:20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T635" s="9"/>
    </row>
    <row r="636" spans="4:20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T636" s="9"/>
    </row>
    <row r="637" spans="4:20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T637" s="9"/>
    </row>
    <row r="638" spans="4:20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T638" s="9"/>
    </row>
    <row r="639" spans="4:20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T639" s="9"/>
    </row>
    <row r="640" spans="4:20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T640" s="9"/>
    </row>
    <row r="641" spans="4:20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T641" s="9"/>
    </row>
    <row r="642" spans="4:20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T642" s="9"/>
    </row>
    <row r="643" spans="4:20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T643" s="9"/>
    </row>
    <row r="644" spans="4:20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T644" s="9"/>
    </row>
    <row r="645" spans="4:20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T645" s="9"/>
    </row>
    <row r="646" spans="4:20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T646" s="9"/>
    </row>
    <row r="647" spans="4:20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T647" s="9"/>
    </row>
    <row r="648" spans="4:20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T648" s="9"/>
    </row>
    <row r="649" spans="4:20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T649" s="9"/>
    </row>
    <row r="650" spans="4:20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T650" s="9"/>
    </row>
    <row r="651" spans="4:20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T651" s="9"/>
    </row>
    <row r="652" spans="4:20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T652" s="9"/>
    </row>
    <row r="653" spans="4:20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T653" s="9"/>
    </row>
    <row r="654" spans="4:20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T654" s="9"/>
    </row>
    <row r="655" spans="4:20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T655" s="9"/>
    </row>
    <row r="656" spans="4:20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T656" s="9"/>
    </row>
    <row r="657" spans="4:20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T657" s="9"/>
    </row>
    <row r="658" spans="4:20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T658" s="9"/>
    </row>
    <row r="659" spans="4:20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T659" s="9"/>
    </row>
    <row r="660" spans="4:20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T660" s="9"/>
    </row>
    <row r="661" spans="4:20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T661" s="9"/>
    </row>
    <row r="662" spans="4:20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T662" s="9"/>
    </row>
    <row r="663" spans="4:20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T663" s="9"/>
    </row>
    <row r="664" spans="4:20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T664" s="9"/>
    </row>
    <row r="665" spans="4:20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T665" s="9"/>
    </row>
    <row r="666" spans="4:20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T666" s="9"/>
    </row>
    <row r="667" spans="4:20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T667" s="9"/>
    </row>
    <row r="668" spans="4:20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T668" s="9"/>
    </row>
    <row r="669" spans="4:20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T669" s="9"/>
    </row>
    <row r="670" spans="4:20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T670" s="9"/>
    </row>
    <row r="671" spans="4:20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T671" s="9"/>
    </row>
    <row r="672" spans="4:20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T672" s="9"/>
    </row>
    <row r="673" spans="4:20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T673" s="9"/>
    </row>
    <row r="674" spans="4:20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T674" s="9"/>
    </row>
    <row r="675" spans="4:20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T675" s="9"/>
    </row>
    <row r="676" spans="4:20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T676" s="9"/>
    </row>
    <row r="677" spans="4:20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T677" s="9"/>
    </row>
    <row r="678" spans="4:20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T678" s="9"/>
    </row>
    <row r="679" spans="4:20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T679" s="9"/>
    </row>
    <row r="680" spans="4:20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T680" s="9"/>
    </row>
    <row r="681" spans="4:20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T681" s="9"/>
    </row>
    <row r="682" spans="4:20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T682" s="9"/>
    </row>
    <row r="683" spans="4:20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T683" s="9"/>
    </row>
    <row r="684" spans="4:20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T684" s="9"/>
    </row>
    <row r="685" spans="4:20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T685" s="9"/>
    </row>
    <row r="686" spans="4:20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T686" s="9"/>
    </row>
    <row r="687" spans="4:20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T687" s="9"/>
    </row>
    <row r="688" spans="4:20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T688" s="9"/>
    </row>
    <row r="689" spans="4:20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T689" s="9"/>
    </row>
    <row r="690" spans="4:20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T690" s="9"/>
    </row>
    <row r="691" spans="4:20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T691" s="9"/>
    </row>
    <row r="692" spans="4:20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T692" s="9"/>
    </row>
    <row r="693" spans="4:20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T693" s="9"/>
    </row>
    <row r="694" spans="4:20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T694" s="9"/>
    </row>
    <row r="695" spans="4:20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T695" s="9"/>
    </row>
    <row r="696" spans="4:20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T696" s="9"/>
    </row>
    <row r="697" spans="4:20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T697" s="9"/>
    </row>
    <row r="698" spans="4:20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T698" s="9"/>
    </row>
    <row r="699" spans="4:20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T699" s="9"/>
    </row>
    <row r="700" spans="4:20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T700" s="9"/>
    </row>
    <row r="701" spans="4:20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T701" s="9"/>
    </row>
    <row r="702" spans="4:20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T702" s="9"/>
    </row>
    <row r="703" spans="4:20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T703" s="9"/>
    </row>
    <row r="704" spans="4:20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T704" s="9"/>
    </row>
    <row r="705" spans="4:20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T705" s="9"/>
    </row>
    <row r="706" spans="4:20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T706" s="9"/>
    </row>
    <row r="707" spans="4:20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T707" s="9"/>
    </row>
    <row r="708" spans="4:20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T708" s="9"/>
    </row>
    <row r="709" spans="4:20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T709" s="9"/>
    </row>
    <row r="710" spans="4:20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T710" s="9"/>
    </row>
    <row r="711" spans="4:20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T711" s="9"/>
    </row>
    <row r="712" spans="4:20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T712" s="9"/>
    </row>
    <row r="713" spans="4:20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T713" s="9"/>
    </row>
    <row r="714" spans="4:20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T714" s="9"/>
    </row>
    <row r="715" spans="4:20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T715" s="9"/>
    </row>
    <row r="716" spans="4:20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T716" s="9"/>
    </row>
    <row r="717" spans="4:20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T717" s="9"/>
    </row>
    <row r="718" spans="4:20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T718" s="9"/>
    </row>
    <row r="719" spans="4:20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T719" s="9"/>
    </row>
    <row r="720" spans="4:20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T720" s="9"/>
    </row>
    <row r="721" spans="4:20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T721" s="9"/>
    </row>
    <row r="722" spans="4:20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T722" s="9"/>
    </row>
    <row r="723" spans="4:20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T723" s="9"/>
    </row>
    <row r="724" spans="4:20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T724" s="9"/>
    </row>
    <row r="725" spans="4:20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T725" s="9"/>
    </row>
    <row r="726" spans="4:20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T726" s="9"/>
    </row>
    <row r="727" spans="4:20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T727" s="9"/>
    </row>
    <row r="728" spans="4:20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T728" s="9"/>
    </row>
    <row r="729" spans="4:20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T729" s="9"/>
    </row>
    <row r="730" spans="4:20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T730" s="9"/>
    </row>
    <row r="731" spans="4:20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T731" s="9"/>
    </row>
    <row r="732" spans="4:20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T732" s="9"/>
    </row>
    <row r="733" spans="4:20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T733" s="9"/>
    </row>
    <row r="734" spans="4:20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T734" s="9"/>
    </row>
    <row r="735" spans="4:20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T735" s="9"/>
    </row>
    <row r="736" spans="4:20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T736" s="9"/>
    </row>
    <row r="737" spans="4:20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T737" s="9"/>
    </row>
    <row r="738" spans="4:20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T738" s="9"/>
    </row>
    <row r="739" spans="4:20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T739" s="9"/>
    </row>
    <row r="740" spans="4:20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T740" s="9"/>
    </row>
    <row r="741" spans="4:20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T741" s="9"/>
    </row>
    <row r="742" spans="4:20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T742" s="9"/>
    </row>
    <row r="743" spans="4:20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T743" s="9"/>
    </row>
    <row r="744" spans="4:20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T744" s="9"/>
    </row>
    <row r="745" spans="4:20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T745" s="9"/>
    </row>
    <row r="746" spans="4:20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T746" s="9"/>
    </row>
    <row r="747" spans="4:20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T747" s="9"/>
    </row>
    <row r="748" spans="4:20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T748" s="9"/>
    </row>
    <row r="749" spans="4:20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T749" s="9"/>
    </row>
    <row r="750" spans="4:20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T750" s="9"/>
    </row>
    <row r="751" spans="4:20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T751" s="9"/>
    </row>
    <row r="752" spans="4:20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T752" s="9"/>
    </row>
    <row r="753" spans="4:20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T753" s="9"/>
    </row>
    <row r="754" spans="4:20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T754" s="9"/>
    </row>
    <row r="755" spans="4:20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T755" s="9"/>
    </row>
    <row r="756" spans="4:20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T756" s="9"/>
    </row>
    <row r="757" spans="4:20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T757" s="9"/>
    </row>
    <row r="758" spans="4:20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T758" s="9"/>
    </row>
    <row r="759" spans="4:20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T759" s="9"/>
    </row>
    <row r="760" spans="4:20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T760" s="9"/>
    </row>
    <row r="761" spans="4:20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T761" s="9"/>
    </row>
    <row r="762" spans="4:20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T762" s="9"/>
    </row>
    <row r="763" spans="4:20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T763" s="9"/>
    </row>
    <row r="764" spans="4:20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T764" s="9"/>
    </row>
    <row r="765" spans="4:20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T765" s="9"/>
    </row>
    <row r="766" spans="4:20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T766" s="9"/>
    </row>
    <row r="767" spans="4:20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T767" s="9"/>
    </row>
    <row r="768" spans="4:20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T768" s="9"/>
    </row>
    <row r="769" spans="4:20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T769" s="9"/>
    </row>
    <row r="770" spans="4:20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T770" s="9"/>
    </row>
    <row r="771" spans="4:20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T771" s="9"/>
    </row>
    <row r="772" spans="4:20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T772" s="9"/>
    </row>
    <row r="773" spans="4:20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T773" s="9"/>
    </row>
    <row r="774" spans="4:20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T774" s="9"/>
    </row>
    <row r="775" spans="4:20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T775" s="9"/>
    </row>
    <row r="776" spans="4:20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T776" s="9"/>
    </row>
    <row r="777" spans="4:20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T777" s="9"/>
    </row>
    <row r="778" spans="4:20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T778" s="9"/>
    </row>
    <row r="779" spans="4:20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T779" s="9"/>
    </row>
    <row r="780" spans="4:20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T780" s="9"/>
    </row>
    <row r="781" spans="4:20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T781" s="9"/>
    </row>
    <row r="782" spans="4:20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T782" s="9"/>
    </row>
    <row r="783" spans="4:20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T783" s="9"/>
    </row>
    <row r="784" spans="4:20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T784" s="9"/>
    </row>
    <row r="785" spans="4:20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T785" s="9"/>
    </row>
    <row r="786" spans="4:20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T786" s="9"/>
    </row>
    <row r="787" spans="4:20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T787" s="9"/>
    </row>
    <row r="788" spans="4:20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T788" s="9"/>
    </row>
    <row r="789" spans="4:20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T789" s="9"/>
    </row>
    <row r="790" spans="4:20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T790" s="9"/>
    </row>
    <row r="791" spans="4:20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T791" s="9"/>
    </row>
    <row r="792" spans="4:20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T792" s="9"/>
    </row>
    <row r="793" spans="4:20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T793" s="9"/>
    </row>
    <row r="794" spans="4:20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T794" s="9"/>
    </row>
    <row r="795" spans="4:20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T795" s="9"/>
    </row>
    <row r="796" spans="4:20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T796" s="9"/>
    </row>
    <row r="797" spans="4:20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T797" s="9"/>
    </row>
    <row r="798" spans="4:20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T798" s="9"/>
    </row>
    <row r="799" spans="4:20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T799" s="9"/>
    </row>
    <row r="800" spans="4:20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T800" s="9"/>
    </row>
    <row r="801" spans="4:20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T801" s="9"/>
    </row>
    <row r="802" spans="4:20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T802" s="9"/>
    </row>
    <row r="803" spans="4:20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T803" s="9"/>
    </row>
    <row r="804" spans="4:20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T804" s="9"/>
    </row>
    <row r="805" spans="4:20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T805" s="9"/>
    </row>
    <row r="806" spans="4:20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T806" s="9"/>
    </row>
    <row r="807" spans="4:20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T807" s="9"/>
    </row>
    <row r="808" spans="4:20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T808" s="9"/>
    </row>
    <row r="809" spans="4:20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T809" s="9"/>
    </row>
    <row r="810" spans="4:20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T810" s="9"/>
    </row>
    <row r="811" spans="4:20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T811" s="9"/>
    </row>
    <row r="812" spans="4:20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T812" s="9"/>
    </row>
    <row r="813" spans="4:20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T813" s="9"/>
    </row>
    <row r="814" spans="4:20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T814" s="9"/>
    </row>
    <row r="815" spans="4:20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T815" s="9"/>
    </row>
    <row r="816" spans="4:20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T816" s="9"/>
    </row>
    <row r="817" spans="4:20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T817" s="9"/>
    </row>
    <row r="818" spans="4:20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T818" s="9"/>
    </row>
    <row r="819" spans="4:20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T819" s="9"/>
    </row>
    <row r="820" spans="4:20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T820" s="9"/>
    </row>
    <row r="821" spans="4:20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T821" s="9"/>
    </row>
    <row r="822" spans="4:20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T822" s="9"/>
    </row>
    <row r="823" spans="4:20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T823" s="9"/>
    </row>
    <row r="824" spans="4:20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T824" s="9"/>
    </row>
    <row r="825" spans="4:20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T825" s="9"/>
    </row>
    <row r="826" spans="4:20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T826" s="9"/>
    </row>
    <row r="827" spans="4:20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T827" s="9"/>
    </row>
    <row r="828" spans="4:20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T828" s="9"/>
    </row>
    <row r="829" spans="4:20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T829" s="9"/>
    </row>
    <row r="830" spans="4:20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T830" s="9"/>
    </row>
    <row r="831" spans="4:20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T831" s="9"/>
    </row>
    <row r="832" spans="4:20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T832" s="9"/>
    </row>
    <row r="833" spans="4:20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T833" s="9"/>
    </row>
    <row r="834" spans="4:20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T834" s="9"/>
    </row>
    <row r="835" spans="4:20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T835" s="9"/>
    </row>
    <row r="836" spans="4:20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T836" s="9"/>
    </row>
    <row r="837" spans="4:20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T837" s="9"/>
    </row>
    <row r="838" spans="4:20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T838" s="9"/>
    </row>
    <row r="839" spans="4:20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T839" s="9"/>
    </row>
    <row r="840" spans="4:20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T840" s="9"/>
    </row>
    <row r="841" spans="4:20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T841" s="9"/>
    </row>
    <row r="842" spans="4:20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T842" s="9"/>
    </row>
    <row r="843" spans="4:20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T843" s="9"/>
    </row>
    <row r="844" spans="4:20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T844" s="9"/>
    </row>
    <row r="845" spans="4:20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T845" s="9"/>
    </row>
    <row r="846" spans="4:20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T846" s="9"/>
    </row>
    <row r="847" spans="4:20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T847" s="9"/>
    </row>
    <row r="848" spans="4:20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T848" s="9"/>
    </row>
    <row r="849" spans="4:20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T849" s="9"/>
    </row>
    <row r="850" spans="4:20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T850" s="9"/>
    </row>
    <row r="851" spans="4:20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T851" s="9"/>
    </row>
    <row r="852" spans="4:20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T852" s="9"/>
    </row>
    <row r="853" spans="4:20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T853" s="9"/>
    </row>
    <row r="854" spans="4:20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T854" s="9"/>
    </row>
    <row r="855" spans="4:20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T855" s="9"/>
    </row>
    <row r="856" spans="4:20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T856" s="9"/>
    </row>
    <row r="857" spans="4:20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T857" s="9"/>
    </row>
    <row r="858" spans="4:20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T858" s="9"/>
    </row>
    <row r="859" spans="4:20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T859" s="9"/>
    </row>
    <row r="860" spans="4:20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T860" s="9"/>
    </row>
    <row r="861" spans="4:20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T861" s="9"/>
    </row>
    <row r="862" spans="4:20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T862" s="9"/>
    </row>
    <row r="863" spans="4:20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T863" s="9"/>
    </row>
    <row r="864" spans="4:20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T864" s="9"/>
    </row>
    <row r="865" spans="4:20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T865" s="9"/>
    </row>
    <row r="866" spans="4:20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T866" s="9"/>
    </row>
    <row r="867" spans="4:20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T867" s="9"/>
    </row>
    <row r="868" spans="4:20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T868" s="9"/>
    </row>
    <row r="869" spans="4:20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T869" s="9"/>
    </row>
    <row r="870" spans="4:20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T870" s="9"/>
    </row>
    <row r="871" spans="4:20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T871" s="9"/>
    </row>
    <row r="872" spans="4:20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T872" s="9"/>
    </row>
    <row r="873" spans="4:20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T873" s="9"/>
    </row>
    <row r="874" spans="4:20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T874" s="9"/>
    </row>
    <row r="875" spans="4:20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T875" s="9"/>
    </row>
    <row r="876" spans="4:20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T876" s="9"/>
    </row>
    <row r="877" spans="4:20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T877" s="9"/>
    </row>
    <row r="878" spans="4:20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T878" s="9"/>
    </row>
    <row r="879" spans="4:20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T879" s="9"/>
    </row>
    <row r="880" spans="4:20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T880" s="9"/>
    </row>
    <row r="881" spans="4:20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T881" s="9"/>
    </row>
    <row r="882" spans="4:20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T882" s="9"/>
    </row>
    <row r="883" spans="4:20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T883" s="9"/>
    </row>
    <row r="884" spans="4:20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T884" s="9"/>
    </row>
    <row r="885" spans="4:20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T885" s="9"/>
    </row>
    <row r="886" spans="4:20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T886" s="9"/>
    </row>
    <row r="887" spans="4:20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T887" s="9"/>
    </row>
    <row r="888" spans="4:20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T888" s="9"/>
    </row>
    <row r="889" spans="4:20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T889" s="9"/>
    </row>
    <row r="890" spans="4:20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T890" s="9"/>
    </row>
    <row r="891" spans="4:20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T891" s="9"/>
    </row>
    <row r="892" spans="4:20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T892" s="9"/>
    </row>
    <row r="893" spans="4:20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T893" s="9"/>
    </row>
    <row r="894" spans="4:20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T894" s="9"/>
    </row>
    <row r="895" spans="4:20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T895" s="9"/>
    </row>
    <row r="896" spans="4:20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T896" s="9"/>
    </row>
    <row r="897" spans="4:20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T897" s="9"/>
    </row>
    <row r="898" spans="4:20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T898" s="9"/>
    </row>
    <row r="899" spans="4:20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T899" s="9"/>
    </row>
    <row r="900" spans="4:20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T900" s="9"/>
    </row>
    <row r="901" spans="4:20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T901" s="9"/>
    </row>
    <row r="902" spans="4:20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T902" s="9"/>
    </row>
    <row r="903" spans="4:20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T903" s="9"/>
    </row>
    <row r="904" spans="4:20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T904" s="9"/>
    </row>
    <row r="905" spans="4:20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T905" s="9"/>
    </row>
    <row r="906" spans="4:20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T906" s="9"/>
    </row>
    <row r="907" spans="4:20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T907" s="9"/>
    </row>
    <row r="908" spans="4:20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T908" s="9"/>
    </row>
    <row r="909" spans="4:20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T909" s="9"/>
    </row>
    <row r="910" spans="4:20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T910" s="9"/>
    </row>
    <row r="911" spans="4:20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T911" s="9"/>
    </row>
    <row r="912" spans="4:20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T912" s="9"/>
    </row>
    <row r="913" spans="4:20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T913" s="9"/>
    </row>
    <row r="914" spans="4:20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T914" s="9"/>
    </row>
    <row r="915" spans="4:20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T915" s="9"/>
    </row>
    <row r="916" spans="4:20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T916" s="9"/>
    </row>
    <row r="917" spans="4:20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T917" s="9"/>
    </row>
    <row r="918" spans="4:20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T918" s="9"/>
    </row>
    <row r="919" spans="4:20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T919" s="9"/>
    </row>
    <row r="920" spans="4:20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T920" s="9"/>
    </row>
    <row r="921" spans="4:20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T921" s="9"/>
    </row>
    <row r="922" spans="4:20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T922" s="9"/>
    </row>
    <row r="923" spans="4:20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T923" s="9"/>
    </row>
    <row r="924" spans="4:20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T924" s="9"/>
    </row>
    <row r="925" spans="4:20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T925" s="9"/>
    </row>
    <row r="926" spans="4:20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T926" s="9"/>
    </row>
    <row r="927" spans="4:20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T927" s="9"/>
    </row>
    <row r="928" spans="4:20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T928" s="9"/>
    </row>
    <row r="929" spans="4:20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T929" s="9"/>
    </row>
    <row r="930" spans="4:20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T930" s="9"/>
    </row>
    <row r="931" spans="4:20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T931" s="9"/>
    </row>
    <row r="932" spans="4:20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T932" s="9"/>
    </row>
    <row r="933" spans="4:20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T933" s="9"/>
    </row>
    <row r="934" spans="4:20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T934" s="9"/>
    </row>
    <row r="935" spans="4:20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T935" s="9"/>
    </row>
    <row r="936" spans="4:20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T936" s="9"/>
    </row>
    <row r="937" spans="4:20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T937" s="9"/>
    </row>
    <row r="938" spans="4:20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T938" s="9"/>
    </row>
    <row r="939" spans="4:20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T939" s="9"/>
    </row>
    <row r="940" spans="4:20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T940" s="9"/>
    </row>
    <row r="941" spans="4:20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T941" s="9"/>
    </row>
    <row r="942" spans="4:20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T942" s="9"/>
    </row>
    <row r="943" spans="4:20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T943" s="9"/>
    </row>
    <row r="944" spans="4:20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T944" s="9"/>
    </row>
    <row r="945" spans="4:20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T945" s="9"/>
    </row>
    <row r="946" spans="4:20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T946" s="9"/>
    </row>
    <row r="947" spans="4:20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T947" s="9"/>
    </row>
    <row r="948" spans="4:20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T948" s="9"/>
    </row>
    <row r="949" spans="4:20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T949" s="9"/>
    </row>
    <row r="950" spans="4:20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T950" s="9"/>
    </row>
    <row r="951" spans="4:20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T951" s="9"/>
    </row>
    <row r="952" spans="4:20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T952" s="9"/>
    </row>
    <row r="953" spans="4:20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T953" s="9"/>
    </row>
    <row r="954" spans="4:20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T954" s="9"/>
    </row>
    <row r="955" spans="4:20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T955" s="9"/>
    </row>
    <row r="956" spans="4:20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T956" s="9"/>
    </row>
    <row r="957" spans="4:20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T957" s="9"/>
    </row>
    <row r="958" spans="4:20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T958" s="9"/>
    </row>
    <row r="959" spans="4:20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T959" s="9"/>
    </row>
    <row r="960" spans="4:20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T960" s="9"/>
    </row>
    <row r="961" spans="4:20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T961" s="9"/>
    </row>
    <row r="962" spans="4:20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T962" s="9"/>
    </row>
    <row r="963" spans="4:20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T963" s="9"/>
    </row>
    <row r="964" spans="4:20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T964" s="9"/>
    </row>
    <row r="965" spans="4:20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T965" s="9"/>
    </row>
    <row r="966" spans="4:20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T966" s="9"/>
    </row>
    <row r="967" spans="4:20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T967" s="9"/>
    </row>
    <row r="968" spans="4:20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T968" s="9"/>
    </row>
    <row r="969" spans="4:20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T969" s="9"/>
    </row>
    <row r="970" spans="4:20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T970" s="9"/>
    </row>
    <row r="971" spans="4:20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T971" s="9"/>
    </row>
    <row r="972" spans="4:20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T972" s="9"/>
    </row>
    <row r="973" spans="4:20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T973" s="9"/>
    </row>
    <row r="974" spans="4:20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T974" s="9"/>
    </row>
    <row r="975" spans="4:20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T975" s="9"/>
    </row>
    <row r="976" spans="4:20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T976" s="9"/>
    </row>
    <row r="977" spans="4:20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T977" s="9"/>
    </row>
    <row r="978" spans="4:20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T978" s="9"/>
    </row>
    <row r="979" spans="4:20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T979" s="9"/>
    </row>
    <row r="980" spans="4:20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T980" s="9"/>
    </row>
    <row r="981" spans="4:20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T981" s="9"/>
    </row>
    <row r="982" spans="4:20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T982" s="9"/>
    </row>
    <row r="983" spans="4:20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T983" s="9"/>
    </row>
    <row r="984" spans="4:20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T984" s="9"/>
    </row>
    <row r="985" spans="4:20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T985" s="9"/>
    </row>
    <row r="986" spans="4:20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T986" s="9"/>
    </row>
    <row r="987" spans="4:20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T987" s="9"/>
    </row>
    <row r="988" spans="4:20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T988" s="9"/>
    </row>
    <row r="989" spans="4:20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T989" s="9"/>
    </row>
    <row r="990" spans="4:20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T990" s="9"/>
    </row>
    <row r="991" spans="4:20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T991" s="9"/>
    </row>
    <row r="992" spans="4:20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T992" s="9"/>
    </row>
    <row r="993" spans="4:20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T993" s="9"/>
    </row>
    <row r="994" spans="4:20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T994" s="9"/>
    </row>
    <row r="995" spans="4:20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T995" s="9"/>
    </row>
    <row r="996" spans="4:20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T996" s="9"/>
    </row>
    <row r="997" spans="4:20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T997" s="9"/>
    </row>
    <row r="998" spans="4:20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T998" s="9"/>
    </row>
    <row r="999" spans="4:20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T999" s="9"/>
    </row>
    <row r="1000" spans="4:20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T1000" s="9"/>
    </row>
  </sheetData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Normal="100" workbookViewId="0">
      <selection activeCell="P11" sqref="P11:P16"/>
    </sheetView>
  </sheetViews>
  <sheetFormatPr defaultColWidth="14.44140625" defaultRowHeight="13.2" x14ac:dyDescent="0.25"/>
  <cols>
    <col min="1" max="1" width="8.6640625" customWidth="1"/>
    <col min="2" max="2" width="23.44140625" customWidth="1"/>
    <col min="3" max="3" width="6.5546875" customWidth="1"/>
    <col min="4" max="4" width="10.33203125" customWidth="1"/>
    <col min="5" max="15" width="9.33203125" customWidth="1"/>
    <col min="16" max="16" width="10.5546875" customWidth="1"/>
    <col min="17" max="17" width="8.6640625" customWidth="1"/>
    <col min="18" max="18" width="9.44140625" customWidth="1"/>
    <col min="19" max="19" width="8.6640625" customWidth="1"/>
    <col min="20" max="20" width="10.5546875" customWidth="1"/>
    <col min="21" max="26" width="8.6640625" customWidth="1"/>
  </cols>
  <sheetData>
    <row r="1" spans="1:26" ht="12" customHeight="1" x14ac:dyDescent="0.3">
      <c r="A1" s="2" t="s">
        <v>0</v>
      </c>
      <c r="D1" s="3">
        <v>2007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26" ht="12" customHeight="1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26" ht="12" customHeight="1" x14ac:dyDescent="0.25">
      <c r="A3" s="10" t="s">
        <v>1</v>
      </c>
      <c r="D3" s="11" t="s">
        <v>2</v>
      </c>
      <c r="E3" s="4"/>
      <c r="F3" s="4">
        <v>110</v>
      </c>
      <c r="G3" s="11" t="s">
        <v>3</v>
      </c>
      <c r="H3" s="11" t="s">
        <v>4</v>
      </c>
      <c r="I3" s="4"/>
      <c r="J3" s="4"/>
      <c r="K3" s="4">
        <v>16.399999999999999</v>
      </c>
      <c r="L3" s="11" t="s">
        <v>5</v>
      </c>
      <c r="M3" s="4"/>
      <c r="N3" s="4"/>
      <c r="O3" s="4"/>
      <c r="P3" s="4"/>
    </row>
    <row r="4" spans="1:26" ht="12" customHeight="1" x14ac:dyDescent="0.25">
      <c r="A4" s="10"/>
      <c r="D4" s="11" t="s">
        <v>6</v>
      </c>
      <c r="E4" s="4"/>
      <c r="F4" s="13">
        <f>2.52*F3</f>
        <v>277.2</v>
      </c>
      <c r="G4" s="11" t="s">
        <v>7</v>
      </c>
      <c r="H4" s="4"/>
      <c r="I4" s="73"/>
      <c r="J4" s="74" t="s">
        <v>85</v>
      </c>
      <c r="K4" s="11" t="s">
        <v>86</v>
      </c>
      <c r="L4" s="11"/>
      <c r="M4" s="75">
        <f>M11-'2008'!M11</f>
        <v>306</v>
      </c>
      <c r="N4" s="75">
        <f>N11-'2008'!N11</f>
        <v>531</v>
      </c>
      <c r="O4" s="75">
        <f>O11-'2008'!O11</f>
        <v>397</v>
      </c>
      <c r="P4" s="4"/>
    </row>
    <row r="5" spans="1:26" ht="12" customHeight="1" x14ac:dyDescent="0.25"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6" ht="12" customHeight="1" x14ac:dyDescent="0.25">
      <c r="A6" s="15" t="s">
        <v>9</v>
      </c>
      <c r="B6" s="16"/>
      <c r="C6" s="17"/>
      <c r="D6" s="18" t="s">
        <v>10</v>
      </c>
      <c r="E6" s="18" t="s">
        <v>11</v>
      </c>
      <c r="F6" s="18" t="s">
        <v>12</v>
      </c>
      <c r="G6" s="18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18" t="s">
        <v>20</v>
      </c>
      <c r="O6" s="18" t="s">
        <v>21</v>
      </c>
      <c r="P6" s="18" t="s">
        <v>22</v>
      </c>
      <c r="Q6" s="10"/>
      <c r="R6" s="76"/>
      <c r="S6" s="10"/>
      <c r="T6" s="10"/>
      <c r="U6" s="10"/>
      <c r="V6" s="10"/>
      <c r="W6" s="10"/>
      <c r="X6" s="10"/>
      <c r="Y6" s="10"/>
      <c r="Z6" s="10"/>
    </row>
    <row r="7" spans="1:26" ht="12" hidden="1" customHeight="1" x14ac:dyDescent="0.25">
      <c r="A7" s="15"/>
      <c r="B7" s="16"/>
      <c r="C7" s="17"/>
      <c r="D7" s="63">
        <v>31</v>
      </c>
      <c r="E7" s="63">
        <v>28</v>
      </c>
      <c r="F7" s="63">
        <v>31</v>
      </c>
      <c r="G7" s="63">
        <v>30</v>
      </c>
      <c r="H7" s="63">
        <v>31</v>
      </c>
      <c r="I7" s="63">
        <v>30</v>
      </c>
      <c r="J7" s="63">
        <v>31</v>
      </c>
      <c r="K7" s="63">
        <v>31</v>
      </c>
      <c r="L7" s="63">
        <v>30</v>
      </c>
      <c r="M7" s="63">
        <v>31</v>
      </c>
      <c r="N7" s="63">
        <v>30</v>
      </c>
      <c r="O7" s="63">
        <v>31</v>
      </c>
      <c r="P7" s="18">
        <f>SUM(D7:O7)</f>
        <v>365</v>
      </c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" customHeight="1" x14ac:dyDescent="0.25">
      <c r="A8" s="25">
        <v>2007</v>
      </c>
      <c r="B8" s="26" t="s">
        <v>23</v>
      </c>
      <c r="C8" s="30" t="s">
        <v>65</v>
      </c>
      <c r="D8" s="28">
        <v>-3.7</v>
      </c>
      <c r="E8" s="28">
        <v>-13.5</v>
      </c>
      <c r="F8" s="28">
        <v>2.1</v>
      </c>
      <c r="G8" s="28">
        <v>4.5</v>
      </c>
      <c r="H8" s="28">
        <v>10.4</v>
      </c>
      <c r="I8" s="28">
        <v>14.8</v>
      </c>
      <c r="J8" s="28">
        <v>17.2</v>
      </c>
      <c r="K8" s="28">
        <v>16.8</v>
      </c>
      <c r="L8" s="28">
        <v>9.5</v>
      </c>
      <c r="M8" s="28">
        <v>6.1</v>
      </c>
      <c r="N8" s="28">
        <v>-0.2</v>
      </c>
      <c r="O8" s="28">
        <v>1.8</v>
      </c>
      <c r="P8" s="28">
        <f>AVERAGE(D8:O8)</f>
        <v>5.4833333333333334</v>
      </c>
    </row>
    <row r="9" spans="1:26" ht="12" customHeight="1" x14ac:dyDescent="0.25">
      <c r="A9" s="25">
        <v>2007</v>
      </c>
      <c r="B9" s="26" t="s">
        <v>67</v>
      </c>
      <c r="C9" s="30" t="s">
        <v>26</v>
      </c>
      <c r="D9" s="43">
        <v>1037</v>
      </c>
      <c r="E9" s="32">
        <v>982</v>
      </c>
      <c r="F9" s="32">
        <v>737</v>
      </c>
      <c r="G9" s="32">
        <v>562</v>
      </c>
      <c r="H9" s="43">
        <f>10484-10083</f>
        <v>401</v>
      </c>
      <c r="I9" s="43">
        <v>309</v>
      </c>
      <c r="J9" s="43">
        <f>11038-10793</f>
        <v>245</v>
      </c>
      <c r="K9" s="43">
        <f>11038-10793</f>
        <v>245</v>
      </c>
      <c r="L9" s="43">
        <v>417</v>
      </c>
      <c r="M9" s="43">
        <v>600</v>
      </c>
      <c r="N9" s="32">
        <v>856</v>
      </c>
      <c r="O9" s="32">
        <v>902</v>
      </c>
      <c r="P9" s="32">
        <f t="shared" ref="P9:P16" si="0">SUM(D9:O9)</f>
        <v>7293</v>
      </c>
      <c r="Q9" s="34">
        <v>7929</v>
      </c>
      <c r="R9" s="35">
        <f>O9/$O$11</f>
        <v>0.56516290726817042</v>
      </c>
      <c r="S9" s="35"/>
      <c r="T9" s="42"/>
    </row>
    <row r="10" spans="1:26" ht="12" customHeight="1" x14ac:dyDescent="0.25">
      <c r="A10" s="25">
        <v>2007</v>
      </c>
      <c r="B10" s="26" t="s">
        <v>68</v>
      </c>
      <c r="C10" s="30" t="s">
        <v>26</v>
      </c>
      <c r="D10" s="43">
        <v>899</v>
      </c>
      <c r="E10" s="32">
        <v>881</v>
      </c>
      <c r="F10" s="32">
        <v>630</v>
      </c>
      <c r="G10" s="32">
        <v>509</v>
      </c>
      <c r="H10" s="43">
        <f>8917-8562</f>
        <v>355</v>
      </c>
      <c r="I10" s="43">
        <v>246</v>
      </c>
      <c r="J10" s="43">
        <f>9375-9163</f>
        <v>212</v>
      </c>
      <c r="K10" s="43">
        <f>9375-9163</f>
        <v>212</v>
      </c>
      <c r="L10" s="43">
        <v>335</v>
      </c>
      <c r="M10" s="43">
        <v>450</v>
      </c>
      <c r="N10" s="32">
        <v>666</v>
      </c>
      <c r="O10" s="32">
        <v>694</v>
      </c>
      <c r="P10" s="32">
        <f t="shared" si="0"/>
        <v>6089</v>
      </c>
      <c r="Q10" s="34">
        <v>6623</v>
      </c>
      <c r="R10" s="35">
        <f>O10/$O$11</f>
        <v>0.43483709273182958</v>
      </c>
      <c r="S10" s="35"/>
      <c r="T10" s="42"/>
    </row>
    <row r="11" spans="1:26" ht="12" customHeight="1" x14ac:dyDescent="0.25">
      <c r="A11" s="25">
        <v>2007</v>
      </c>
      <c r="B11" s="26" t="s">
        <v>25</v>
      </c>
      <c r="C11" s="30" t="s">
        <v>26</v>
      </c>
      <c r="D11" s="43">
        <f t="shared" ref="D11:O11" si="1">SUM(D9:D10)</f>
        <v>1936</v>
      </c>
      <c r="E11" s="32">
        <f t="shared" si="1"/>
        <v>1863</v>
      </c>
      <c r="F11" s="32">
        <f t="shared" si="1"/>
        <v>1367</v>
      </c>
      <c r="G11" s="32">
        <f t="shared" si="1"/>
        <v>1071</v>
      </c>
      <c r="H11" s="43">
        <f t="shared" si="1"/>
        <v>756</v>
      </c>
      <c r="I11" s="43">
        <f t="shared" si="1"/>
        <v>555</v>
      </c>
      <c r="J11" s="43">
        <f t="shared" si="1"/>
        <v>457</v>
      </c>
      <c r="K11" s="43">
        <f t="shared" si="1"/>
        <v>457</v>
      </c>
      <c r="L11" s="43">
        <f t="shared" si="1"/>
        <v>752</v>
      </c>
      <c r="M11" s="43">
        <f t="shared" si="1"/>
        <v>1050</v>
      </c>
      <c r="N11" s="32">
        <f t="shared" si="1"/>
        <v>1522</v>
      </c>
      <c r="O11" s="32">
        <f t="shared" si="1"/>
        <v>1596</v>
      </c>
      <c r="P11" s="33">
        <f t="shared" si="0"/>
        <v>13382</v>
      </c>
      <c r="Q11" s="34">
        <f>SUM(Q9:Q10)</f>
        <v>14552</v>
      </c>
      <c r="R11" s="35">
        <f>O11/$O$11</f>
        <v>1</v>
      </c>
      <c r="S11" s="35"/>
      <c r="T11" s="36">
        <f>SUM(D11:I11)</f>
        <v>7548</v>
      </c>
    </row>
    <row r="12" spans="1:26" ht="12" customHeight="1" x14ac:dyDescent="0.25">
      <c r="A12" s="25">
        <v>2007</v>
      </c>
      <c r="B12" s="40" t="s">
        <v>29</v>
      </c>
      <c r="C12" s="30" t="s">
        <v>66</v>
      </c>
      <c r="D12" s="32">
        <v>670</v>
      </c>
      <c r="E12" s="32">
        <v>852</v>
      </c>
      <c r="F12" s="32">
        <v>469</v>
      </c>
      <c r="G12" s="32">
        <v>367</v>
      </c>
      <c r="H12" s="32">
        <v>147</v>
      </c>
      <c r="I12" s="32">
        <v>0</v>
      </c>
      <c r="J12" s="32">
        <v>0</v>
      </c>
      <c r="K12" s="32">
        <v>37</v>
      </c>
      <c r="L12" s="32">
        <v>197</v>
      </c>
      <c r="M12" s="32">
        <v>348</v>
      </c>
      <c r="N12" s="32">
        <v>553</v>
      </c>
      <c r="O12" s="32">
        <v>529</v>
      </c>
      <c r="P12" s="32">
        <f t="shared" si="0"/>
        <v>4169</v>
      </c>
      <c r="Q12" s="34"/>
      <c r="R12" s="36"/>
      <c r="S12" s="35"/>
      <c r="T12" s="36">
        <f>SUM(D12:H12)</f>
        <v>2505</v>
      </c>
      <c r="U12" s="35"/>
      <c r="V12" s="35"/>
    </row>
    <row r="13" spans="1:26" ht="12" customHeight="1" x14ac:dyDescent="0.25">
      <c r="A13" s="25">
        <v>2007</v>
      </c>
      <c r="B13" s="40" t="s">
        <v>31</v>
      </c>
      <c r="C13" s="30" t="s">
        <v>66</v>
      </c>
      <c r="D13" s="32">
        <v>771</v>
      </c>
      <c r="E13" s="32">
        <v>702</v>
      </c>
      <c r="F13" s="32">
        <v>624</v>
      </c>
      <c r="G13" s="32">
        <v>425</v>
      </c>
      <c r="H13" s="32">
        <v>177</v>
      </c>
      <c r="I13" s="32">
        <v>26</v>
      </c>
      <c r="J13" s="32">
        <v>6</v>
      </c>
      <c r="K13" s="32">
        <v>34</v>
      </c>
      <c r="L13" s="32">
        <v>204</v>
      </c>
      <c r="M13" s="32">
        <v>404</v>
      </c>
      <c r="N13" s="32">
        <v>548</v>
      </c>
      <c r="O13" s="32">
        <v>691</v>
      </c>
      <c r="P13" s="32">
        <f t="shared" si="0"/>
        <v>4612</v>
      </c>
      <c r="R13" s="42">
        <f>(P13-P12)/P13</f>
        <v>9.6053772766695578E-2</v>
      </c>
      <c r="T13" s="34"/>
      <c r="U13" s="34"/>
      <c r="V13" s="34"/>
    </row>
    <row r="14" spans="1:26" ht="12" customHeight="1" x14ac:dyDescent="0.25">
      <c r="A14" s="25">
        <v>2007</v>
      </c>
      <c r="B14" s="26" t="s">
        <v>32</v>
      </c>
      <c r="C14" s="30" t="s">
        <v>26</v>
      </c>
      <c r="D14" s="32">
        <f t="shared" ref="D14:O14" si="2">D7*$K$3</f>
        <v>508.4</v>
      </c>
      <c r="E14" s="32">
        <f t="shared" si="2"/>
        <v>459.19999999999993</v>
      </c>
      <c r="F14" s="32">
        <f t="shared" si="2"/>
        <v>508.4</v>
      </c>
      <c r="G14" s="32">
        <f t="shared" si="2"/>
        <v>491.99999999999994</v>
      </c>
      <c r="H14" s="32">
        <f t="shared" si="2"/>
        <v>508.4</v>
      </c>
      <c r="I14" s="32">
        <f t="shared" si="2"/>
        <v>491.99999999999994</v>
      </c>
      <c r="J14" s="32">
        <f t="shared" si="2"/>
        <v>508.4</v>
      </c>
      <c r="K14" s="32">
        <f t="shared" si="2"/>
        <v>508.4</v>
      </c>
      <c r="L14" s="32">
        <f t="shared" si="2"/>
        <v>491.99999999999994</v>
      </c>
      <c r="M14" s="32">
        <f t="shared" si="2"/>
        <v>508.4</v>
      </c>
      <c r="N14" s="32">
        <f t="shared" si="2"/>
        <v>491.99999999999994</v>
      </c>
      <c r="O14" s="32">
        <f t="shared" si="2"/>
        <v>508.4</v>
      </c>
      <c r="P14" s="32">
        <f t="shared" si="0"/>
        <v>5985.9999999999991</v>
      </c>
    </row>
    <row r="15" spans="1:26" ht="12" customHeight="1" x14ac:dyDescent="0.25">
      <c r="A15" s="25">
        <v>2007</v>
      </c>
      <c r="B15" s="26" t="s">
        <v>33</v>
      </c>
      <c r="C15" s="30" t="s">
        <v>26</v>
      </c>
      <c r="D15" s="32">
        <f t="shared" ref="D15:I15" si="3">D11-D14</f>
        <v>1427.6</v>
      </c>
      <c r="E15" s="32">
        <f t="shared" si="3"/>
        <v>1403.8000000000002</v>
      </c>
      <c r="F15" s="32">
        <f t="shared" si="3"/>
        <v>858.6</v>
      </c>
      <c r="G15" s="32">
        <f t="shared" si="3"/>
        <v>579</v>
      </c>
      <c r="H15" s="32">
        <f t="shared" si="3"/>
        <v>247.60000000000002</v>
      </c>
      <c r="I15" s="32">
        <f t="shared" si="3"/>
        <v>63.000000000000057</v>
      </c>
      <c r="J15" s="32">
        <v>0</v>
      </c>
      <c r="K15" s="32">
        <v>0</v>
      </c>
      <c r="L15" s="32">
        <f>L11-L14</f>
        <v>260.00000000000006</v>
      </c>
      <c r="M15" s="32">
        <f>M11-M14</f>
        <v>541.6</v>
      </c>
      <c r="N15" s="32">
        <f>N11-N14</f>
        <v>1030</v>
      </c>
      <c r="O15" s="32">
        <f>O11-O14</f>
        <v>1087.5999999999999</v>
      </c>
      <c r="P15" s="32">
        <f t="shared" si="0"/>
        <v>7498.8000000000011</v>
      </c>
      <c r="R15" s="9"/>
      <c r="T15" s="36"/>
    </row>
    <row r="16" spans="1:26" ht="12" customHeight="1" x14ac:dyDescent="0.25">
      <c r="A16" s="25">
        <v>2007</v>
      </c>
      <c r="B16" s="26" t="s">
        <v>34</v>
      </c>
      <c r="C16" s="30" t="s">
        <v>26</v>
      </c>
      <c r="D16" s="32">
        <f>IF(D15&lt;0,0,((D13/D12))*D15)</f>
        <v>1642.8053731343284</v>
      </c>
      <c r="E16" s="32">
        <f>IF(E15&lt;0,0,((E13/E12))*E15)</f>
        <v>1156.6521126760565</v>
      </c>
      <c r="F16" s="32">
        <f>IF(F15&lt;0,0,((F13/F12))*F15)</f>
        <v>1142.3590618336887</v>
      </c>
      <c r="G16" s="32">
        <f>IF(G15&lt;0,0,((G13/G12))*G15)</f>
        <v>670.50408719346046</v>
      </c>
      <c r="H16" s="32">
        <f>IF(H15&lt;0,0,((H13/H12))*H15)</f>
        <v>298.13061224489797</v>
      </c>
      <c r="I16" s="43">
        <f>I15</f>
        <v>63.000000000000057</v>
      </c>
      <c r="J16" s="43">
        <f>J15</f>
        <v>0</v>
      </c>
      <c r="K16" s="43">
        <f>K15</f>
        <v>0</v>
      </c>
      <c r="L16" s="32">
        <f>IF(L15&lt;0,0,((L13/L12))*L15)</f>
        <v>269.23857868020309</v>
      </c>
      <c r="M16" s="32">
        <f>IF(M15&lt;0,0,((M13/M12))*M15)</f>
        <v>628.75402298850577</v>
      </c>
      <c r="N16" s="32">
        <f>IF(N15&lt;0,0,((N13/N12))*N15)</f>
        <v>1020.6871609403255</v>
      </c>
      <c r="O16" s="32">
        <f>IF(O15&lt;0,0,((O13/O12))*O15)</f>
        <v>1420.6646502835538</v>
      </c>
      <c r="P16" s="33">
        <f t="shared" si="0"/>
        <v>8312.7956599750214</v>
      </c>
      <c r="Q16" s="44"/>
      <c r="R16" s="35"/>
    </row>
    <row r="17" spans="1:22" ht="12" customHeight="1" x14ac:dyDescent="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36"/>
    </row>
    <row r="18" spans="1:22" ht="12" customHeight="1" x14ac:dyDescent="0.25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22" ht="12" customHeight="1" x14ac:dyDescent="0.25">
      <c r="A19" s="9" t="s">
        <v>35</v>
      </c>
      <c r="B19" s="10"/>
      <c r="C19" s="9" t="s">
        <v>5</v>
      </c>
      <c r="D19" s="4">
        <f t="shared" ref="D19:O19" si="4">D11/D7</f>
        <v>62.451612903225808</v>
      </c>
      <c r="E19" s="4">
        <f t="shared" si="4"/>
        <v>66.535714285714292</v>
      </c>
      <c r="F19" s="4">
        <f t="shared" si="4"/>
        <v>44.096774193548384</v>
      </c>
      <c r="G19" s="4">
        <f t="shared" si="4"/>
        <v>35.700000000000003</v>
      </c>
      <c r="H19" s="4">
        <f t="shared" si="4"/>
        <v>24.387096774193548</v>
      </c>
      <c r="I19" s="4">
        <f t="shared" si="4"/>
        <v>18.5</v>
      </c>
      <c r="J19" s="4">
        <f t="shared" si="4"/>
        <v>14.741935483870968</v>
      </c>
      <c r="K19" s="4">
        <f t="shared" si="4"/>
        <v>14.741935483870968</v>
      </c>
      <c r="L19" s="4">
        <f t="shared" si="4"/>
        <v>25.066666666666666</v>
      </c>
      <c r="M19" s="4">
        <f t="shared" si="4"/>
        <v>33.87096774193548</v>
      </c>
      <c r="N19" s="4">
        <f t="shared" si="4"/>
        <v>50.733333333333334</v>
      </c>
      <c r="O19" s="4">
        <f t="shared" si="4"/>
        <v>51.483870967741936</v>
      </c>
      <c r="P19" s="4">
        <f>P10/365</f>
        <v>16.682191780821917</v>
      </c>
    </row>
    <row r="20" spans="1:22" ht="12" customHeight="1" x14ac:dyDescent="0.3">
      <c r="A20" s="10"/>
      <c r="B20" s="47" t="s">
        <v>36</v>
      </c>
      <c r="C20" s="11" t="s">
        <v>26</v>
      </c>
      <c r="D20" s="4">
        <f>SUM(D11)</f>
        <v>1936</v>
      </c>
      <c r="E20" s="4">
        <f>SUM($D$11:E11)</f>
        <v>3799</v>
      </c>
      <c r="F20" s="4">
        <f>SUM($D$11:F11)</f>
        <v>5166</v>
      </c>
      <c r="G20" s="4">
        <f>SUM($D$11:G11)</f>
        <v>6237</v>
      </c>
      <c r="H20" s="4">
        <f>SUM($D$11:H11)</f>
        <v>6993</v>
      </c>
      <c r="I20" s="4">
        <f>SUM($D$11:I11)</f>
        <v>7548</v>
      </c>
      <c r="J20" s="4">
        <f>SUM($D$11:J11)</f>
        <v>8005</v>
      </c>
      <c r="K20" s="4">
        <f>SUM($D$11:K11)</f>
        <v>8462</v>
      </c>
      <c r="L20" s="4">
        <f>SUM($D$11:L11)</f>
        <v>9214</v>
      </c>
      <c r="M20" s="4">
        <f>SUM($D$11:M11)</f>
        <v>10264</v>
      </c>
      <c r="N20" s="4">
        <f>SUM($D$11:N11)</f>
        <v>11786</v>
      </c>
      <c r="O20" s="4">
        <f>SUM($D$11:O11)</f>
        <v>13382</v>
      </c>
      <c r="P20" s="4"/>
    </row>
    <row r="21" spans="1:22" ht="12" customHeight="1" x14ac:dyDescent="0.3">
      <c r="A21" s="10"/>
      <c r="B21" s="47" t="s">
        <v>38</v>
      </c>
      <c r="C21" s="11" t="s">
        <v>26</v>
      </c>
      <c r="D21" s="4">
        <f>SUM(D15)</f>
        <v>1427.6</v>
      </c>
      <c r="E21" s="4">
        <f>SUM($D$15:E15)</f>
        <v>2831.4</v>
      </c>
      <c r="F21" s="4">
        <f>SUM($D$15:F15)</f>
        <v>3690</v>
      </c>
      <c r="G21" s="4">
        <f>SUM($D$15:G15)</f>
        <v>4269</v>
      </c>
      <c r="H21" s="4">
        <f>SUM($D$15:H15)</f>
        <v>4516.6000000000004</v>
      </c>
      <c r="I21" s="4">
        <f>SUM($D$15:I15)</f>
        <v>4579.6000000000004</v>
      </c>
      <c r="J21" s="4">
        <f>SUM($D$15:J15)</f>
        <v>4579.6000000000004</v>
      </c>
      <c r="K21" s="4">
        <f>SUM($D$15:K15)</f>
        <v>4579.6000000000004</v>
      </c>
      <c r="L21" s="4">
        <f>SUM($D$15:L15)</f>
        <v>4839.6000000000004</v>
      </c>
      <c r="M21" s="4">
        <f>SUM($D$15:M15)</f>
        <v>5381.2000000000007</v>
      </c>
      <c r="N21" s="4">
        <f>SUM($D$15:N15)</f>
        <v>6411.2000000000007</v>
      </c>
      <c r="O21" s="4">
        <f>SUM($D$15:O15)</f>
        <v>7498.8000000000011</v>
      </c>
      <c r="P21" s="4"/>
    </row>
    <row r="22" spans="1:22" ht="12" customHeight="1" x14ac:dyDescent="0.25">
      <c r="A22" s="10"/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22" ht="12" customHeight="1" x14ac:dyDescent="0.3">
      <c r="A23" s="47" t="s">
        <v>39</v>
      </c>
      <c r="D23" s="49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34"/>
      <c r="R23" s="34"/>
      <c r="S23" s="34"/>
      <c r="T23" s="14"/>
      <c r="U23" s="34"/>
      <c r="V23" s="34"/>
    </row>
    <row r="24" spans="1:22" ht="12" customHeight="1" x14ac:dyDescent="0.3">
      <c r="B24" s="47" t="s">
        <v>40</v>
      </c>
      <c r="D24" s="51">
        <f t="shared" ref="D24:P24" si="5">D15/D11</f>
        <v>0.73739669421487597</v>
      </c>
      <c r="E24" s="51">
        <f t="shared" si="5"/>
        <v>0.75351583467525507</v>
      </c>
      <c r="F24" s="51">
        <f t="shared" si="5"/>
        <v>0.62809070958302859</v>
      </c>
      <c r="G24" s="51">
        <f t="shared" si="5"/>
        <v>0.54061624649859941</v>
      </c>
      <c r="H24" s="51">
        <f t="shared" si="5"/>
        <v>0.32751322751322753</v>
      </c>
      <c r="I24" s="51">
        <f t="shared" si="5"/>
        <v>0.11351351351351362</v>
      </c>
      <c r="J24" s="51">
        <f t="shared" si="5"/>
        <v>0</v>
      </c>
      <c r="K24" s="51">
        <f t="shared" si="5"/>
        <v>0</v>
      </c>
      <c r="L24" s="51">
        <f t="shared" si="5"/>
        <v>0.34574468085106391</v>
      </c>
      <c r="M24" s="51">
        <f t="shared" si="5"/>
        <v>0.51580952380952383</v>
      </c>
      <c r="N24" s="51">
        <f t="shared" si="5"/>
        <v>0.67674113009198422</v>
      </c>
      <c r="O24" s="51">
        <f t="shared" si="5"/>
        <v>0.68145363408521298</v>
      </c>
      <c r="P24" s="51">
        <f t="shared" si="5"/>
        <v>0.56036466895830228</v>
      </c>
      <c r="Q24" s="34"/>
      <c r="R24" s="34"/>
      <c r="S24" s="34"/>
      <c r="T24" s="34"/>
      <c r="U24" s="34"/>
      <c r="V24" s="34"/>
    </row>
    <row r="25" spans="1:22" ht="12" customHeight="1" x14ac:dyDescent="0.3">
      <c r="B25" s="47" t="s">
        <v>41</v>
      </c>
      <c r="C25" s="9" t="s">
        <v>42</v>
      </c>
      <c r="D25" s="4">
        <f>D15/D12</f>
        <v>2.1307462686567162</v>
      </c>
      <c r="E25" s="4">
        <f>E15/E12</f>
        <v>1.6476525821596246</v>
      </c>
      <c r="F25" s="4">
        <f>F15/F12</f>
        <v>1.8307036247334756</v>
      </c>
      <c r="G25" s="4">
        <f>G15/G12</f>
        <v>1.5776566757493189</v>
      </c>
      <c r="H25" s="4">
        <f>H15/H12</f>
        <v>1.6843537414965988</v>
      </c>
      <c r="I25" s="4"/>
      <c r="J25" s="4"/>
      <c r="K25" s="4">
        <f t="shared" ref="K25:P25" si="6">K15/K12</f>
        <v>0</v>
      </c>
      <c r="L25" s="4">
        <f t="shared" si="6"/>
        <v>1.319796954314721</v>
      </c>
      <c r="M25" s="4">
        <f t="shared" si="6"/>
        <v>1.5563218390804598</v>
      </c>
      <c r="N25" s="4">
        <f t="shared" si="6"/>
        <v>1.8625678119349005</v>
      </c>
      <c r="O25" s="4">
        <f t="shared" si="6"/>
        <v>2.0559546313799619</v>
      </c>
      <c r="P25" s="4">
        <f t="shared" si="6"/>
        <v>1.7987047253538022</v>
      </c>
    </row>
    <row r="26" spans="1:22" ht="12" customHeight="1" x14ac:dyDescent="0.3">
      <c r="B26" s="47" t="s">
        <v>41</v>
      </c>
      <c r="C26" s="11" t="s">
        <v>5</v>
      </c>
      <c r="D26" s="4">
        <f t="shared" ref="D26:P26" si="7">D15/D7</f>
        <v>46.051612903225802</v>
      </c>
      <c r="E26" s="4">
        <f t="shared" si="7"/>
        <v>50.135714285714293</v>
      </c>
      <c r="F26" s="4">
        <f t="shared" si="7"/>
        <v>27.696774193548389</v>
      </c>
      <c r="G26" s="4">
        <f t="shared" si="7"/>
        <v>19.3</v>
      </c>
      <c r="H26" s="4">
        <f t="shared" si="7"/>
        <v>7.9870967741935495</v>
      </c>
      <c r="I26" s="4">
        <f t="shared" si="7"/>
        <v>2.1000000000000019</v>
      </c>
      <c r="J26" s="4">
        <f t="shared" si="7"/>
        <v>0</v>
      </c>
      <c r="K26" s="4">
        <f t="shared" si="7"/>
        <v>0</v>
      </c>
      <c r="L26" s="4">
        <f t="shared" si="7"/>
        <v>8.6666666666666679</v>
      </c>
      <c r="M26" s="4">
        <f t="shared" si="7"/>
        <v>17.470967741935485</v>
      </c>
      <c r="N26" s="4">
        <f t="shared" si="7"/>
        <v>34.333333333333336</v>
      </c>
      <c r="O26" s="4">
        <f t="shared" si="7"/>
        <v>35.08387096774193</v>
      </c>
      <c r="P26" s="4">
        <f t="shared" si="7"/>
        <v>20.544657534246578</v>
      </c>
    </row>
    <row r="27" spans="1:22" ht="12" customHeight="1" x14ac:dyDescent="0.3">
      <c r="B27" s="47" t="s">
        <v>43</v>
      </c>
      <c r="C27" s="11" t="s">
        <v>5</v>
      </c>
      <c r="D27" s="4">
        <f t="shared" ref="D27:P27" si="8">D16/D7</f>
        <v>52.993721714010597</v>
      </c>
      <c r="E27" s="4">
        <f t="shared" si="8"/>
        <v>41.309004024144876</v>
      </c>
      <c r="F27" s="4">
        <f t="shared" si="8"/>
        <v>36.850292317215761</v>
      </c>
      <c r="G27" s="4">
        <f t="shared" si="8"/>
        <v>22.350136239782014</v>
      </c>
      <c r="H27" s="4">
        <f t="shared" si="8"/>
        <v>9.6171165240289671</v>
      </c>
      <c r="I27" s="4">
        <f t="shared" si="8"/>
        <v>2.1000000000000019</v>
      </c>
      <c r="J27" s="4">
        <f t="shared" si="8"/>
        <v>0</v>
      </c>
      <c r="K27" s="4">
        <f t="shared" si="8"/>
        <v>0</v>
      </c>
      <c r="L27" s="4">
        <f t="shared" si="8"/>
        <v>8.9746192893401027</v>
      </c>
      <c r="M27" s="4">
        <f t="shared" si="8"/>
        <v>20.282387838338895</v>
      </c>
      <c r="N27" s="4">
        <f t="shared" si="8"/>
        <v>34.02290536467752</v>
      </c>
      <c r="O27" s="4">
        <f t="shared" si="8"/>
        <v>45.827891944630764</v>
      </c>
      <c r="P27" s="4">
        <f t="shared" si="8"/>
        <v>22.77478263006855</v>
      </c>
    </row>
    <row r="28" spans="1:22" ht="12" customHeight="1" x14ac:dyDescent="0.3">
      <c r="B28" s="47" t="s">
        <v>44</v>
      </c>
      <c r="C28" s="47" t="s">
        <v>45</v>
      </c>
      <c r="D28" s="4">
        <f t="shared" ref="D28:P28" si="9">D15/$F$4</f>
        <v>5.15007215007215</v>
      </c>
      <c r="E28" s="4">
        <f t="shared" si="9"/>
        <v>5.0642135642135653</v>
      </c>
      <c r="F28" s="4">
        <f t="shared" si="9"/>
        <v>3.0974025974025978</v>
      </c>
      <c r="G28" s="4">
        <f t="shared" si="9"/>
        <v>2.0887445887445888</v>
      </c>
      <c r="H28" s="4">
        <f t="shared" si="9"/>
        <v>0.89321789321789336</v>
      </c>
      <c r="I28" s="4">
        <f t="shared" si="9"/>
        <v>0.22727272727272749</v>
      </c>
      <c r="J28" s="4">
        <f t="shared" si="9"/>
        <v>0</v>
      </c>
      <c r="K28" s="4">
        <f t="shared" si="9"/>
        <v>0</v>
      </c>
      <c r="L28" s="4">
        <f t="shared" si="9"/>
        <v>0.9379509379509382</v>
      </c>
      <c r="M28" s="4">
        <f t="shared" si="9"/>
        <v>1.9538239538239539</v>
      </c>
      <c r="N28" s="4">
        <f t="shared" si="9"/>
        <v>3.7157287157287158</v>
      </c>
      <c r="O28" s="4">
        <f t="shared" si="9"/>
        <v>3.9235209235209232</v>
      </c>
      <c r="P28" s="4">
        <f t="shared" si="9"/>
        <v>27.051948051948056</v>
      </c>
    </row>
    <row r="29" spans="1:22" ht="12" customHeight="1" x14ac:dyDescent="0.3">
      <c r="B29" s="47" t="s">
        <v>44</v>
      </c>
      <c r="C29" s="47" t="s">
        <v>46</v>
      </c>
      <c r="D29" s="4">
        <f t="shared" ref="D29:P29" si="10">D15/$F$3</f>
        <v>12.978181818181817</v>
      </c>
      <c r="E29" s="4">
        <f t="shared" si="10"/>
        <v>12.761818181818184</v>
      </c>
      <c r="F29" s="4">
        <f t="shared" si="10"/>
        <v>7.8054545454545456</v>
      </c>
      <c r="G29" s="4">
        <f t="shared" si="10"/>
        <v>5.2636363636363637</v>
      </c>
      <c r="H29" s="4">
        <f t="shared" si="10"/>
        <v>2.250909090909091</v>
      </c>
      <c r="I29" s="4">
        <f t="shared" si="10"/>
        <v>0.5727272727272732</v>
      </c>
      <c r="J29" s="4">
        <f t="shared" si="10"/>
        <v>0</v>
      </c>
      <c r="K29" s="4">
        <f t="shared" si="10"/>
        <v>0</v>
      </c>
      <c r="L29" s="4">
        <f t="shared" si="10"/>
        <v>2.3636363636363642</v>
      </c>
      <c r="M29" s="4">
        <f t="shared" si="10"/>
        <v>4.9236363636363638</v>
      </c>
      <c r="N29" s="4">
        <f t="shared" si="10"/>
        <v>9.3636363636363633</v>
      </c>
      <c r="O29" s="4">
        <f t="shared" si="10"/>
        <v>9.8872727272727268</v>
      </c>
      <c r="P29" s="4">
        <f t="shared" si="10"/>
        <v>68.170909090909106</v>
      </c>
    </row>
    <row r="30" spans="1:22" ht="12" customHeight="1" x14ac:dyDescent="0.3">
      <c r="B30" s="47" t="s">
        <v>47</v>
      </c>
      <c r="C30" s="47" t="s">
        <v>45</v>
      </c>
      <c r="D30" s="4">
        <f t="shared" ref="D30:P30" si="11">D16/$F$4</f>
        <v>5.9264263100083996</v>
      </c>
      <c r="E30" s="4">
        <f t="shared" si="11"/>
        <v>4.1726266691055427</v>
      </c>
      <c r="F30" s="4">
        <f t="shared" si="11"/>
        <v>4.1210644366294682</v>
      </c>
      <c r="G30" s="4">
        <f t="shared" si="11"/>
        <v>2.4188459133963223</v>
      </c>
      <c r="H30" s="4">
        <f t="shared" si="11"/>
        <v>1.0755072591807286</v>
      </c>
      <c r="I30" s="4">
        <f t="shared" si="11"/>
        <v>0.22727272727272749</v>
      </c>
      <c r="J30" s="4">
        <f t="shared" si="11"/>
        <v>0</v>
      </c>
      <c r="K30" s="4">
        <f t="shared" si="11"/>
        <v>0</v>
      </c>
      <c r="L30" s="4">
        <f t="shared" si="11"/>
        <v>0.97127914386797654</v>
      </c>
      <c r="M30" s="4">
        <f t="shared" si="11"/>
        <v>2.2682324061634409</v>
      </c>
      <c r="N30" s="4">
        <f t="shared" si="11"/>
        <v>3.6821326152248397</v>
      </c>
      <c r="O30" s="4">
        <f t="shared" si="11"/>
        <v>5.1250528509507713</v>
      </c>
      <c r="P30" s="4">
        <f t="shared" si="11"/>
        <v>29.988440331800224</v>
      </c>
    </row>
    <row r="31" spans="1:22" ht="12" customHeight="1" x14ac:dyDescent="0.3">
      <c r="B31" s="47" t="s">
        <v>47</v>
      </c>
      <c r="C31" s="47" t="s">
        <v>46</v>
      </c>
      <c r="D31" s="4">
        <f t="shared" ref="D31:P31" si="12">D16/$F$3</f>
        <v>14.934594301221168</v>
      </c>
      <c r="E31" s="4">
        <f t="shared" si="12"/>
        <v>10.515019206145968</v>
      </c>
      <c r="F31" s="4">
        <f t="shared" si="12"/>
        <v>10.38508238030626</v>
      </c>
      <c r="G31" s="4">
        <f t="shared" si="12"/>
        <v>6.0954917017587311</v>
      </c>
      <c r="H31" s="4">
        <f t="shared" si="12"/>
        <v>2.7102782931354361</v>
      </c>
      <c r="I31" s="4">
        <f t="shared" si="12"/>
        <v>0.5727272727272732</v>
      </c>
      <c r="J31" s="4">
        <f t="shared" si="12"/>
        <v>0</v>
      </c>
      <c r="K31" s="4">
        <f t="shared" si="12"/>
        <v>0</v>
      </c>
      <c r="L31" s="4">
        <f t="shared" si="12"/>
        <v>2.4476234425473007</v>
      </c>
      <c r="M31" s="4">
        <f t="shared" si="12"/>
        <v>5.7159456635318708</v>
      </c>
      <c r="N31" s="4">
        <f t="shared" si="12"/>
        <v>9.2789741903665952</v>
      </c>
      <c r="O31" s="4">
        <f t="shared" si="12"/>
        <v>12.915133184395943</v>
      </c>
      <c r="P31" s="4">
        <f t="shared" si="12"/>
        <v>75.570869636136564</v>
      </c>
    </row>
    <row r="32" spans="1:22" ht="12" customHeight="1" x14ac:dyDescent="0.3">
      <c r="B32" s="47" t="s">
        <v>44</v>
      </c>
      <c r="C32" s="47" t="s">
        <v>48</v>
      </c>
      <c r="D32" s="4">
        <f t="shared" ref="D32:P32" si="13">1000*D28/D12</f>
        <v>7.6866748508539553</v>
      </c>
      <c r="E32" s="4">
        <f t="shared" si="13"/>
        <v>5.9439126340534809</v>
      </c>
      <c r="F32" s="4">
        <f t="shared" si="13"/>
        <v>6.6042699304959438</v>
      </c>
      <c r="G32" s="4">
        <f t="shared" si="13"/>
        <v>5.6914021491678168</v>
      </c>
      <c r="H32" s="4">
        <f t="shared" si="13"/>
        <v>6.0763121987611788</v>
      </c>
      <c r="I32" s="4" t="e">
        <f t="shared" si="13"/>
        <v>#DIV/0!</v>
      </c>
      <c r="J32" s="4" t="e">
        <f t="shared" si="13"/>
        <v>#DIV/0!</v>
      </c>
      <c r="K32" s="4">
        <f t="shared" si="13"/>
        <v>0</v>
      </c>
      <c r="L32" s="4">
        <f t="shared" si="13"/>
        <v>4.7611722738626305</v>
      </c>
      <c r="M32" s="4">
        <f t="shared" si="13"/>
        <v>5.6144366489194075</v>
      </c>
      <c r="N32" s="4">
        <f t="shared" si="13"/>
        <v>6.7192201007752539</v>
      </c>
      <c r="O32" s="4">
        <f t="shared" si="13"/>
        <v>7.4168637495669625</v>
      </c>
      <c r="P32" s="4">
        <f t="shared" si="13"/>
        <v>6.4888337855476266</v>
      </c>
      <c r="T32" s="9"/>
    </row>
    <row r="33" spans="2:16" ht="12" customHeight="1" x14ac:dyDescent="0.25">
      <c r="D33" s="4"/>
      <c r="E33" s="4"/>
      <c r="F33" s="4"/>
      <c r="G33" s="4"/>
      <c r="H33" s="11" t="s">
        <v>49</v>
      </c>
      <c r="I33" s="4"/>
      <c r="J33" s="4"/>
      <c r="K33" s="4"/>
      <c r="L33" s="4"/>
      <c r="M33" s="4"/>
      <c r="N33" s="4"/>
      <c r="O33" s="4"/>
      <c r="P33" s="4"/>
    </row>
    <row r="34" spans="2:16" ht="12" customHeight="1" x14ac:dyDescent="0.3">
      <c r="B34" s="47" t="s">
        <v>87</v>
      </c>
      <c r="D34" s="13">
        <f>D36-D35</f>
        <v>8566</v>
      </c>
      <c r="E34" s="11" t="s">
        <v>26</v>
      </c>
      <c r="F34" s="51">
        <f>D34/D36</f>
        <v>0.58864760857614074</v>
      </c>
      <c r="G34" s="4"/>
      <c r="H34" s="4" t="s">
        <v>88</v>
      </c>
      <c r="I34" s="13">
        <v>7570</v>
      </c>
      <c r="J34" s="11" t="s">
        <v>26</v>
      </c>
      <c r="K34" s="4"/>
      <c r="L34" s="11">
        <f>SUM(H9:M9)</f>
        <v>2217</v>
      </c>
      <c r="M34" s="4">
        <v>2217</v>
      </c>
      <c r="N34" s="4"/>
      <c r="O34" s="4"/>
      <c r="P34" s="4"/>
    </row>
    <row r="35" spans="2:16" ht="12" customHeight="1" x14ac:dyDescent="0.25">
      <c r="B35" s="53" t="s">
        <v>53</v>
      </c>
      <c r="C35" s="53"/>
      <c r="D35" s="54">
        <f>K3*365</f>
        <v>5985.9999999999991</v>
      </c>
      <c r="E35" s="55" t="s">
        <v>26</v>
      </c>
      <c r="F35" s="51">
        <f>D35/D36</f>
        <v>0.41135239142385921</v>
      </c>
      <c r="G35" s="4"/>
      <c r="H35" s="4" t="s">
        <v>89</v>
      </c>
      <c r="I35" s="13">
        <v>6970</v>
      </c>
      <c r="J35" s="11" t="s">
        <v>26</v>
      </c>
      <c r="K35" s="4"/>
      <c r="L35" s="11">
        <f>SUM(H10:M10)</f>
        <v>1810</v>
      </c>
      <c r="M35" s="4">
        <v>1810</v>
      </c>
      <c r="N35" s="4"/>
      <c r="O35" s="4"/>
      <c r="P35" s="4"/>
    </row>
    <row r="36" spans="2:16" ht="12" customHeight="1" x14ac:dyDescent="0.3">
      <c r="B36" s="47" t="s">
        <v>22</v>
      </c>
      <c r="D36" s="13">
        <v>14552</v>
      </c>
      <c r="E36" s="11" t="s">
        <v>26</v>
      </c>
      <c r="F36" s="4"/>
      <c r="G36" s="4"/>
      <c r="H36" s="4" t="s">
        <v>22</v>
      </c>
      <c r="I36" s="13">
        <f>SUM(I34:I35)</f>
        <v>14540</v>
      </c>
      <c r="J36" s="11" t="s">
        <v>26</v>
      </c>
      <c r="K36" s="51"/>
      <c r="L36" s="11"/>
      <c r="M36" s="4"/>
      <c r="N36" s="4"/>
      <c r="O36" s="4"/>
      <c r="P36" s="4"/>
    </row>
    <row r="37" spans="2:16" ht="12" customHeight="1" x14ac:dyDescent="0.25">
      <c r="D37" s="4"/>
      <c r="E37" s="4"/>
      <c r="F37" s="4"/>
      <c r="G37" s="11"/>
      <c r="H37" s="4"/>
      <c r="I37" s="4"/>
      <c r="J37" s="4"/>
      <c r="K37" s="51"/>
      <c r="L37" s="4"/>
      <c r="M37" s="4"/>
      <c r="N37" s="4"/>
      <c r="O37" s="4"/>
      <c r="P37" s="4"/>
    </row>
    <row r="38" spans="2:16" ht="12" customHeight="1" x14ac:dyDescent="0.25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2:16" ht="12" customHeight="1" x14ac:dyDescent="0.2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2:16" ht="12" customHeight="1" x14ac:dyDescent="0.2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2:16" ht="12" customHeight="1" x14ac:dyDescent="0.2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2:16" ht="12" customHeight="1" x14ac:dyDescent="0.2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2:16" ht="12" customHeight="1" x14ac:dyDescent="0.2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2:16" ht="12" customHeight="1" x14ac:dyDescent="0.25"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2:16" ht="12" customHeight="1" x14ac:dyDescent="0.2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2:16" ht="12" customHeight="1" x14ac:dyDescent="0.25"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2:16" ht="12" customHeight="1" x14ac:dyDescent="0.25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2:16" ht="12" customHeight="1" x14ac:dyDescent="0.25"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4:16" ht="12" customHeight="1" x14ac:dyDescent="0.25"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4:16" ht="12" customHeight="1" x14ac:dyDescent="0.25"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4:16" ht="12" customHeight="1" x14ac:dyDescent="0.25"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4:16" ht="12" customHeight="1" x14ac:dyDescent="0.25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4:16" ht="12" customHeight="1" x14ac:dyDescent="0.25"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4:16" ht="12" customHeight="1" x14ac:dyDescent="0.25"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4:16" ht="12" customHeight="1" x14ac:dyDescent="0.2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4:16" ht="12" customHeight="1" x14ac:dyDescent="0.2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4:16" ht="12" customHeight="1" x14ac:dyDescent="0.25"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4:16" ht="12" customHeight="1" x14ac:dyDescent="0.25"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4:16" ht="12" customHeight="1" x14ac:dyDescent="0.25"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4:16" ht="12" customHeight="1" x14ac:dyDescent="0.25"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4:16" ht="12" customHeight="1" x14ac:dyDescent="0.25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4:16" ht="12" customHeight="1" x14ac:dyDescent="0.25"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4:16" ht="12" customHeight="1" x14ac:dyDescent="0.25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4:16" ht="12" customHeight="1" x14ac:dyDescent="0.25"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4:16" ht="12" customHeight="1" x14ac:dyDescent="0.2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4:16" ht="12" customHeight="1" x14ac:dyDescent="0.25"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4:16" ht="12" customHeight="1" x14ac:dyDescent="0.25"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4:16" ht="12" customHeight="1" x14ac:dyDescent="0.25"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4:16" ht="12" customHeight="1" x14ac:dyDescent="0.25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4:16" ht="12" customHeight="1" x14ac:dyDescent="0.25"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4:16" ht="12" customHeight="1" x14ac:dyDescent="0.25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4:16" ht="12" customHeight="1" x14ac:dyDescent="0.25"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4:16" ht="12" customHeight="1" x14ac:dyDescent="0.25"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4:16" ht="12" customHeight="1" x14ac:dyDescent="0.25"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4:16" ht="12" customHeight="1" x14ac:dyDescent="0.25"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4:16" ht="12" customHeight="1" x14ac:dyDescent="0.25"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4:16" ht="12" customHeight="1" x14ac:dyDescent="0.25"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4:16" ht="12" customHeight="1" x14ac:dyDescent="0.25"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4:16" ht="12" customHeight="1" x14ac:dyDescent="0.25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4:16" ht="12" customHeight="1" x14ac:dyDescent="0.25"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4:16" ht="12" customHeight="1" x14ac:dyDescent="0.25"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4:16" ht="12" customHeight="1" x14ac:dyDescent="0.25"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4:16" ht="12" customHeight="1" x14ac:dyDescent="0.25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4:16" ht="12" customHeight="1" x14ac:dyDescent="0.25"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4:16" ht="12" customHeight="1" x14ac:dyDescent="0.2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4:16" ht="12" customHeight="1" x14ac:dyDescent="0.25"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4:16" ht="12" customHeight="1" x14ac:dyDescent="0.25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4:16" ht="12" customHeight="1" x14ac:dyDescent="0.25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4:16" ht="12" customHeight="1" x14ac:dyDescent="0.25"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4:16" ht="12" customHeight="1" x14ac:dyDescent="0.25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4:16" ht="12" customHeight="1" x14ac:dyDescent="0.25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4:16" ht="12" customHeight="1" x14ac:dyDescent="0.25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4:16" ht="12" customHeight="1" x14ac:dyDescent="0.25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4:16" ht="12" customHeight="1" x14ac:dyDescent="0.25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4:16" ht="12" customHeight="1" x14ac:dyDescent="0.2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4:16" ht="12" customHeight="1" x14ac:dyDescent="0.25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4:16" ht="12" customHeight="1" x14ac:dyDescent="0.25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4:16" ht="12" customHeight="1" x14ac:dyDescent="0.25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4:16" ht="12" customHeight="1" x14ac:dyDescent="0.25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4:16" ht="12" customHeight="1" x14ac:dyDescent="0.25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4:16" ht="12" customHeight="1" x14ac:dyDescent="0.25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4:16" ht="12" customHeight="1" x14ac:dyDescent="0.25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4:16" ht="12" customHeight="1" x14ac:dyDescent="0.25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4:16" ht="12" customHeight="1" x14ac:dyDescent="0.25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4:16" ht="12" customHeight="1" x14ac:dyDescent="0.25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4:16" ht="12" customHeight="1" x14ac:dyDescent="0.25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4:16" ht="12" customHeight="1" x14ac:dyDescent="0.25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4:16" ht="12" customHeight="1" x14ac:dyDescent="0.25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4:16" ht="12" customHeight="1" x14ac:dyDescent="0.25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4:16" ht="12" customHeight="1" x14ac:dyDescent="0.25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4:16" ht="12" customHeight="1" x14ac:dyDescent="0.25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4:16" ht="12" customHeight="1" x14ac:dyDescent="0.25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4:16" ht="12" customHeight="1" x14ac:dyDescent="0.25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4:16" ht="12" customHeight="1" x14ac:dyDescent="0.25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4:16" ht="12" customHeight="1" x14ac:dyDescent="0.25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4:16" ht="12" customHeight="1" x14ac:dyDescent="0.25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4:16" ht="12" customHeight="1" x14ac:dyDescent="0.25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4:16" ht="12" customHeight="1" x14ac:dyDescent="0.25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4:16" ht="12" customHeight="1" x14ac:dyDescent="0.25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4:16" ht="12" customHeight="1" x14ac:dyDescent="0.25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4:16" ht="12" customHeight="1" x14ac:dyDescent="0.25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4:16" ht="12" customHeight="1" x14ac:dyDescent="0.25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4:16" ht="12" customHeight="1" x14ac:dyDescent="0.25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4:16" ht="12" customHeight="1" x14ac:dyDescent="0.25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4:16" ht="12" customHeight="1" x14ac:dyDescent="0.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4:16" ht="12" customHeight="1" x14ac:dyDescent="0.25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4:16" ht="12" customHeight="1" x14ac:dyDescent="0.25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4:16" ht="12" customHeight="1" x14ac:dyDescent="0.25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4:16" ht="12" customHeight="1" x14ac:dyDescent="0.25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4:16" ht="12" customHeight="1" x14ac:dyDescent="0.25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4:16" ht="12" customHeight="1" x14ac:dyDescent="0.25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4:16" ht="12" customHeight="1" x14ac:dyDescent="0.25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4:16" ht="12" customHeight="1" x14ac:dyDescent="0.25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4:16" ht="12" customHeight="1" x14ac:dyDescent="0.25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4:16" ht="12" customHeight="1" x14ac:dyDescent="0.2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4:16" ht="12" customHeight="1" x14ac:dyDescent="0.25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4:16" ht="12" customHeight="1" x14ac:dyDescent="0.25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4:16" ht="12" customHeight="1" x14ac:dyDescent="0.25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4:16" ht="12" customHeight="1" x14ac:dyDescent="0.25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4:16" ht="12" customHeight="1" x14ac:dyDescent="0.25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4:16" ht="12" customHeight="1" x14ac:dyDescent="0.25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4:16" ht="12" customHeight="1" x14ac:dyDescent="0.25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4:16" ht="12" customHeight="1" x14ac:dyDescent="0.25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4:16" ht="12" customHeight="1" x14ac:dyDescent="0.25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4:16" ht="12" customHeight="1" x14ac:dyDescent="0.25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4:16" ht="12" customHeight="1" x14ac:dyDescent="0.25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4:16" ht="12" customHeight="1" x14ac:dyDescent="0.25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4:16" ht="12" customHeight="1" x14ac:dyDescent="0.25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4:16" ht="12" customHeight="1" x14ac:dyDescent="0.25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4:16" ht="12" customHeight="1" x14ac:dyDescent="0.25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4:16" ht="12" customHeight="1" x14ac:dyDescent="0.25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4:16" ht="12" customHeight="1" x14ac:dyDescent="0.25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4:16" ht="12" customHeight="1" x14ac:dyDescent="0.25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4:16" ht="12" customHeight="1" x14ac:dyDescent="0.25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4:16" ht="12" customHeight="1" x14ac:dyDescent="0.25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4:16" ht="12" customHeight="1" x14ac:dyDescent="0.2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4:16" ht="12" customHeight="1" x14ac:dyDescent="0.2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4:16" ht="12" customHeight="1" x14ac:dyDescent="0.25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4:16" ht="12" customHeight="1" x14ac:dyDescent="0.25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4:16" ht="12" customHeight="1" x14ac:dyDescent="0.25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4:16" ht="12" customHeight="1" x14ac:dyDescent="0.25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4:16" ht="12" customHeight="1" x14ac:dyDescent="0.25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4:16" ht="12" customHeight="1" x14ac:dyDescent="0.25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4:16" ht="12" customHeight="1" x14ac:dyDescent="0.25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4:16" ht="12" customHeight="1" x14ac:dyDescent="0.25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4:16" ht="12" customHeight="1" x14ac:dyDescent="0.25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4:16" ht="12" customHeight="1" x14ac:dyDescent="0.25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4:16" ht="12" customHeight="1" x14ac:dyDescent="0.25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4:16" ht="12" customHeight="1" x14ac:dyDescent="0.25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4:16" ht="12" customHeight="1" x14ac:dyDescent="0.25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4:16" ht="12" customHeight="1" x14ac:dyDescent="0.25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4:16" ht="12" customHeight="1" x14ac:dyDescent="0.25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4:16" ht="12" customHeight="1" x14ac:dyDescent="0.25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4:16" ht="12" customHeight="1" x14ac:dyDescent="0.25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4:16" ht="12" customHeight="1" x14ac:dyDescent="0.2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4:16" ht="12" customHeight="1" x14ac:dyDescent="0.25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4:16" ht="12" customHeight="1" x14ac:dyDescent="0.25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4:16" ht="12" customHeight="1" x14ac:dyDescent="0.25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4:16" ht="12" customHeight="1" x14ac:dyDescent="0.25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4:16" ht="12" customHeight="1" x14ac:dyDescent="0.25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4:16" ht="12" customHeight="1" x14ac:dyDescent="0.25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4:16" ht="12" customHeight="1" x14ac:dyDescent="0.25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4:16" ht="12" customHeight="1" x14ac:dyDescent="0.25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4:16" ht="12" customHeight="1" x14ac:dyDescent="0.25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4:16" ht="12" customHeight="1" x14ac:dyDescent="0.25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4:16" ht="12" customHeight="1" x14ac:dyDescent="0.25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4:16" ht="12" customHeight="1" x14ac:dyDescent="0.25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4:16" ht="12" customHeight="1" x14ac:dyDescent="0.25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4:16" ht="12" customHeight="1" x14ac:dyDescent="0.25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4:16" ht="12" customHeight="1" x14ac:dyDescent="0.25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4:16" ht="12" customHeight="1" x14ac:dyDescent="0.25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4:16" ht="12" customHeight="1" x14ac:dyDescent="0.25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4:16" ht="12" customHeight="1" x14ac:dyDescent="0.25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4:16" ht="12" customHeight="1" x14ac:dyDescent="0.25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4:16" ht="12" customHeight="1" x14ac:dyDescent="0.2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4:16" ht="12" customHeight="1" x14ac:dyDescent="0.25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4:16" ht="12" customHeight="1" x14ac:dyDescent="0.25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4:16" ht="12" customHeight="1" x14ac:dyDescent="0.25"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4:16" ht="12" customHeight="1" x14ac:dyDescent="0.25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4:16" ht="12" customHeight="1" x14ac:dyDescent="0.25"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4:16" ht="12" customHeight="1" x14ac:dyDescent="0.25"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4:16" ht="12" customHeight="1" x14ac:dyDescent="0.25"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4:16" ht="12" customHeight="1" x14ac:dyDescent="0.25"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4:16" ht="12" customHeight="1" x14ac:dyDescent="0.25"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4:16" ht="12" customHeight="1" x14ac:dyDescent="0.25"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4:16" ht="12" customHeight="1" x14ac:dyDescent="0.25"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4:16" ht="12" customHeight="1" x14ac:dyDescent="0.25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4:16" ht="12" customHeight="1" x14ac:dyDescent="0.25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4:16" ht="12" customHeight="1" x14ac:dyDescent="0.25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4:16" ht="12" customHeight="1" x14ac:dyDescent="0.25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4:16" ht="12" customHeight="1" x14ac:dyDescent="0.25"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4:16" ht="12" customHeight="1" x14ac:dyDescent="0.25"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4:16" ht="12" customHeight="1" x14ac:dyDescent="0.25"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4:16" ht="12" customHeight="1" x14ac:dyDescent="0.25"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4:16" ht="12" customHeight="1" x14ac:dyDescent="0.2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4:16" ht="12" customHeight="1" x14ac:dyDescent="0.25"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4:16" ht="12" customHeight="1" x14ac:dyDescent="0.25"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4:16" ht="12" customHeight="1" x14ac:dyDescent="0.25"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4:16" ht="12" customHeight="1" x14ac:dyDescent="0.25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4:16" ht="12" customHeight="1" x14ac:dyDescent="0.25"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4:16" ht="12" customHeight="1" x14ac:dyDescent="0.25"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4:16" ht="12" customHeight="1" x14ac:dyDescent="0.25"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4:16" ht="12" customHeight="1" x14ac:dyDescent="0.25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4:16" ht="12" customHeight="1" x14ac:dyDescent="0.25"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4:16" ht="12" customHeight="1" x14ac:dyDescent="0.25"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4:16" ht="12" customHeight="1" x14ac:dyDescent="0.25"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4:16" ht="12" customHeight="1" x14ac:dyDescent="0.25"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4:16" ht="12" customHeight="1" x14ac:dyDescent="0.25"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4:16" ht="12" customHeight="1" x14ac:dyDescent="0.25"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4:16" ht="12" customHeight="1" x14ac:dyDescent="0.25"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4:16" ht="12" customHeight="1" x14ac:dyDescent="0.25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4:16" ht="12" customHeight="1" x14ac:dyDescent="0.25"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4:16" ht="12" customHeight="1" x14ac:dyDescent="0.25"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4:16" ht="12" customHeight="1" x14ac:dyDescent="0.25"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4:16" ht="12" customHeight="1" x14ac:dyDescent="0.25"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4:16" ht="12" customHeight="1" x14ac:dyDescent="0.25"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4:16" ht="12" customHeight="1" x14ac:dyDescent="0.25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4:16" ht="12" customHeight="1" x14ac:dyDescent="0.25"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4:16" ht="12" customHeight="1" x14ac:dyDescent="0.25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4:16" ht="12" customHeight="1" x14ac:dyDescent="0.25"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4:16" ht="12" customHeight="1" x14ac:dyDescent="0.25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4:16" ht="12" customHeight="1" x14ac:dyDescent="0.25"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4:16" ht="12" customHeight="1" x14ac:dyDescent="0.25"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4:16" ht="12" customHeight="1" x14ac:dyDescent="0.25"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4:16" ht="12" customHeight="1" x14ac:dyDescent="0.25"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4:16" ht="12" customHeight="1" x14ac:dyDescent="0.25"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4:16" ht="12" customHeight="1" x14ac:dyDescent="0.25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4:16" ht="12" customHeight="1" x14ac:dyDescent="0.25"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4:16" ht="12" customHeight="1" x14ac:dyDescent="0.25"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4:16" ht="12" customHeight="1" x14ac:dyDescent="0.25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4:16" ht="12" customHeight="1" x14ac:dyDescent="0.25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4:16" ht="12" customHeight="1" x14ac:dyDescent="0.25"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4:16" ht="12" customHeight="1" x14ac:dyDescent="0.25"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4:16" ht="12" customHeight="1" x14ac:dyDescent="0.25"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4:16" ht="12" customHeight="1" x14ac:dyDescent="0.2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4:16" ht="12" customHeight="1" x14ac:dyDescent="0.25"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4:16" ht="12" customHeight="1" x14ac:dyDescent="0.25"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4:16" ht="12" customHeight="1" x14ac:dyDescent="0.25"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4:16" ht="12" customHeight="1" x14ac:dyDescent="0.25"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4:16" ht="12" customHeight="1" x14ac:dyDescent="0.25"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4:16" ht="12" customHeight="1" x14ac:dyDescent="0.25"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4:16" ht="12" customHeight="1" x14ac:dyDescent="0.25"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4:16" ht="12" customHeight="1" x14ac:dyDescent="0.25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4:16" ht="12" customHeight="1" x14ac:dyDescent="0.25"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4:16" ht="12" customHeight="1" x14ac:dyDescent="0.2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4:16" ht="12" customHeight="1" x14ac:dyDescent="0.25"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4:16" ht="12" customHeight="1" x14ac:dyDescent="0.25"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4:16" ht="12" customHeight="1" x14ac:dyDescent="0.25"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4:16" ht="12" customHeight="1" x14ac:dyDescent="0.25"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4:16" ht="12" customHeight="1" x14ac:dyDescent="0.25"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4:16" ht="12" customHeight="1" x14ac:dyDescent="0.25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4:16" ht="12" customHeight="1" x14ac:dyDescent="0.25"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4:16" ht="12" customHeight="1" x14ac:dyDescent="0.25"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4:16" ht="12" customHeight="1" x14ac:dyDescent="0.25"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4:16" ht="12" customHeight="1" x14ac:dyDescent="0.25"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4:16" ht="12" customHeight="1" x14ac:dyDescent="0.25"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4:16" ht="12" customHeight="1" x14ac:dyDescent="0.25"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4:16" ht="12" customHeight="1" x14ac:dyDescent="0.25"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4:16" ht="12" customHeight="1" x14ac:dyDescent="0.25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4:16" ht="12" customHeight="1" x14ac:dyDescent="0.25"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4:16" ht="12" customHeight="1" x14ac:dyDescent="0.25"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4:16" ht="12" customHeight="1" x14ac:dyDescent="0.25"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4:16" ht="12" customHeight="1" x14ac:dyDescent="0.25"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4:16" ht="12" customHeight="1" x14ac:dyDescent="0.25"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4:16" ht="12" customHeight="1" x14ac:dyDescent="0.2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4:16" ht="12" customHeight="1" x14ac:dyDescent="0.25"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4:16" ht="12" customHeight="1" x14ac:dyDescent="0.25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4:16" ht="12" customHeight="1" x14ac:dyDescent="0.25"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4:16" ht="12" customHeight="1" x14ac:dyDescent="0.25"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4:16" ht="12" customHeight="1" x14ac:dyDescent="0.25"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4:16" ht="12" customHeight="1" x14ac:dyDescent="0.25"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4:16" ht="12" customHeight="1" x14ac:dyDescent="0.25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4:16" ht="12" customHeight="1" x14ac:dyDescent="0.25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4:16" ht="12" customHeight="1" x14ac:dyDescent="0.25"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4:16" ht="12" customHeight="1" x14ac:dyDescent="0.2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4:16" ht="12" customHeight="1" x14ac:dyDescent="0.25"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4:16" ht="12" customHeight="1" x14ac:dyDescent="0.25"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4:16" ht="12" customHeight="1" x14ac:dyDescent="0.25"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4:16" ht="12" customHeight="1" x14ac:dyDescent="0.25"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4:16" ht="12" customHeight="1" x14ac:dyDescent="0.25"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4:16" ht="12" customHeight="1" x14ac:dyDescent="0.25"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4:16" ht="12" customHeight="1" x14ac:dyDescent="0.25"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4:16" ht="12" customHeight="1" x14ac:dyDescent="0.25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4:16" ht="12" customHeight="1" x14ac:dyDescent="0.25"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4:16" ht="12" customHeight="1" x14ac:dyDescent="0.25"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4:16" ht="12" customHeight="1" x14ac:dyDescent="0.25"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4:16" ht="12" customHeight="1" x14ac:dyDescent="0.25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4:16" ht="12" customHeight="1" x14ac:dyDescent="0.25"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4:16" ht="12" customHeight="1" x14ac:dyDescent="0.25"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4:16" ht="12" customHeight="1" x14ac:dyDescent="0.25"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4:16" ht="12" customHeight="1" x14ac:dyDescent="0.25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4:16" ht="12" customHeight="1" x14ac:dyDescent="0.25"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4:16" ht="12" customHeight="1" x14ac:dyDescent="0.25"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4:16" ht="12" customHeight="1" x14ac:dyDescent="0.25"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4:16" ht="12" customHeight="1" x14ac:dyDescent="0.2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4:16" ht="12" customHeight="1" x14ac:dyDescent="0.25"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4:16" ht="12" customHeight="1" x14ac:dyDescent="0.25"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4:16" ht="12" customHeight="1" x14ac:dyDescent="0.25"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4:16" ht="12" customHeight="1" x14ac:dyDescent="0.25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4:16" ht="12" customHeight="1" x14ac:dyDescent="0.25"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4:16" ht="12" customHeight="1" x14ac:dyDescent="0.25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4:16" ht="12" customHeight="1" x14ac:dyDescent="0.25"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4:16" ht="12" customHeight="1" x14ac:dyDescent="0.25"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4:16" ht="12" customHeight="1" x14ac:dyDescent="0.25"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4:16" ht="12" customHeight="1" x14ac:dyDescent="0.25"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4:16" ht="12" customHeight="1" x14ac:dyDescent="0.25"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4:16" ht="12" customHeight="1" x14ac:dyDescent="0.25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4:16" ht="12" customHeight="1" x14ac:dyDescent="0.25"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4:16" ht="12" customHeight="1" x14ac:dyDescent="0.25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4:16" ht="12" customHeight="1" x14ac:dyDescent="0.25"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4:16" ht="12" customHeight="1" x14ac:dyDescent="0.25"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4:16" ht="12" customHeight="1" x14ac:dyDescent="0.25"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4:16" ht="12" customHeight="1" x14ac:dyDescent="0.25"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4:16" ht="12" customHeight="1" x14ac:dyDescent="0.25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4:16" ht="12" customHeight="1" x14ac:dyDescent="0.2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4:16" ht="12" customHeight="1" x14ac:dyDescent="0.25"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4:16" ht="12" customHeight="1" x14ac:dyDescent="0.25"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4:16" ht="12" customHeight="1" x14ac:dyDescent="0.25"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4:16" ht="12" customHeight="1" x14ac:dyDescent="0.25"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4:16" ht="12" customHeight="1" x14ac:dyDescent="0.25"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4:16" ht="12" customHeight="1" x14ac:dyDescent="0.25"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4:16" ht="12" customHeight="1" x14ac:dyDescent="0.25"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4:16" ht="12" customHeight="1" x14ac:dyDescent="0.25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4:16" ht="12" customHeight="1" x14ac:dyDescent="0.25"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4:16" ht="12" customHeight="1" x14ac:dyDescent="0.25"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4:16" ht="12" customHeight="1" x14ac:dyDescent="0.25"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4:16" ht="12" customHeight="1" x14ac:dyDescent="0.25"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4:16" ht="12" customHeight="1" x14ac:dyDescent="0.25"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4:16" ht="12" customHeight="1" x14ac:dyDescent="0.25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4:16" ht="12" customHeight="1" x14ac:dyDescent="0.25"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4:16" ht="12" customHeight="1" x14ac:dyDescent="0.25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4:16" ht="12" customHeight="1" x14ac:dyDescent="0.25"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4:16" ht="12" customHeight="1" x14ac:dyDescent="0.25"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4:16" ht="12" customHeight="1" x14ac:dyDescent="0.25"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  <row r="355" spans="4:16" ht="12" customHeight="1" x14ac:dyDescent="0.25"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</row>
    <row r="356" spans="4:16" ht="12" customHeight="1" x14ac:dyDescent="0.25"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</row>
    <row r="357" spans="4:16" ht="12" customHeight="1" x14ac:dyDescent="0.25"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4:16" ht="12" customHeight="1" x14ac:dyDescent="0.25"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</row>
    <row r="359" spans="4:16" ht="12" customHeight="1" x14ac:dyDescent="0.25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</row>
    <row r="360" spans="4:16" ht="12" customHeight="1" x14ac:dyDescent="0.25"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</row>
    <row r="361" spans="4:16" ht="12" customHeight="1" x14ac:dyDescent="0.25"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4:16" ht="12" customHeight="1" x14ac:dyDescent="0.25"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</row>
    <row r="363" spans="4:16" ht="12" customHeight="1" x14ac:dyDescent="0.25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</row>
    <row r="364" spans="4:16" ht="12" customHeight="1" x14ac:dyDescent="0.25"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</row>
    <row r="365" spans="4:16" ht="12" customHeight="1" x14ac:dyDescent="0.25"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</row>
    <row r="366" spans="4:16" ht="12" customHeight="1" x14ac:dyDescent="0.25"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</row>
    <row r="367" spans="4:16" ht="12" customHeight="1" x14ac:dyDescent="0.25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</row>
    <row r="368" spans="4:16" ht="12" customHeight="1" x14ac:dyDescent="0.25"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</row>
    <row r="369" spans="4:16" ht="12" customHeight="1" x14ac:dyDescent="0.25"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</row>
    <row r="370" spans="4:16" ht="12" customHeight="1" x14ac:dyDescent="0.25"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</row>
    <row r="371" spans="4:16" ht="12" customHeight="1" x14ac:dyDescent="0.25"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</row>
    <row r="372" spans="4:16" ht="12" customHeight="1" x14ac:dyDescent="0.25"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</row>
    <row r="373" spans="4:16" ht="12" customHeight="1" x14ac:dyDescent="0.25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</row>
    <row r="374" spans="4:16" ht="12" customHeight="1" x14ac:dyDescent="0.25"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</row>
    <row r="375" spans="4:16" ht="12" customHeight="1" x14ac:dyDescent="0.2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</row>
    <row r="376" spans="4:16" ht="12" customHeight="1" x14ac:dyDescent="0.25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7" spans="4:16" ht="12" customHeight="1" x14ac:dyDescent="0.25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</row>
    <row r="378" spans="4:16" ht="12" customHeight="1" x14ac:dyDescent="0.25"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</row>
    <row r="379" spans="4:16" ht="12" customHeight="1" x14ac:dyDescent="0.25"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</row>
    <row r="380" spans="4:16" ht="12" customHeight="1" x14ac:dyDescent="0.25"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</row>
    <row r="381" spans="4:16" ht="12" customHeight="1" x14ac:dyDescent="0.25"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</row>
    <row r="382" spans="4:16" ht="12" customHeight="1" x14ac:dyDescent="0.25"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</row>
    <row r="383" spans="4:16" ht="12" customHeight="1" x14ac:dyDescent="0.25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</row>
    <row r="384" spans="4:16" ht="12" customHeight="1" x14ac:dyDescent="0.25"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</row>
    <row r="385" spans="4:16" ht="12" customHeight="1" x14ac:dyDescent="0.25"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</row>
    <row r="386" spans="4:16" ht="12" customHeight="1" x14ac:dyDescent="0.25"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</row>
    <row r="387" spans="4:16" ht="12" customHeight="1" x14ac:dyDescent="0.25"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</row>
    <row r="388" spans="4:16" ht="12" customHeight="1" x14ac:dyDescent="0.25"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</row>
    <row r="389" spans="4:16" ht="12" customHeight="1" x14ac:dyDescent="0.25"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</row>
    <row r="390" spans="4:16" ht="12" customHeight="1" x14ac:dyDescent="0.25"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</row>
    <row r="391" spans="4:16" ht="12" customHeight="1" x14ac:dyDescent="0.25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</row>
    <row r="392" spans="4:16" ht="12" customHeight="1" x14ac:dyDescent="0.25"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</row>
    <row r="393" spans="4:16" ht="12" customHeight="1" x14ac:dyDescent="0.25"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</row>
    <row r="394" spans="4:16" ht="12" customHeight="1" x14ac:dyDescent="0.25"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</row>
    <row r="395" spans="4:16" ht="12" customHeight="1" x14ac:dyDescent="0.2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</row>
    <row r="396" spans="4:16" ht="12" customHeight="1" x14ac:dyDescent="0.25"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</row>
    <row r="397" spans="4:16" ht="12" customHeight="1" x14ac:dyDescent="0.25"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</row>
    <row r="398" spans="4:16" ht="12" customHeight="1" x14ac:dyDescent="0.25"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399" spans="4:16" ht="12" customHeight="1" x14ac:dyDescent="0.25"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</row>
    <row r="400" spans="4:16" ht="12" customHeight="1" x14ac:dyDescent="0.25"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</row>
    <row r="401" spans="4:16" ht="12" customHeight="1" x14ac:dyDescent="0.25"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</row>
    <row r="402" spans="4:16" ht="12" customHeight="1" x14ac:dyDescent="0.25"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</row>
    <row r="403" spans="4:16" ht="12" customHeight="1" x14ac:dyDescent="0.25"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</row>
    <row r="404" spans="4:16" ht="12" customHeight="1" x14ac:dyDescent="0.25"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</row>
    <row r="405" spans="4:16" ht="12" customHeight="1" x14ac:dyDescent="0.2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</row>
    <row r="406" spans="4:16" ht="12" customHeight="1" x14ac:dyDescent="0.25"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</row>
    <row r="407" spans="4:16" ht="12" customHeight="1" x14ac:dyDescent="0.25"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</row>
    <row r="408" spans="4:16" ht="12" customHeight="1" x14ac:dyDescent="0.25"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</row>
    <row r="409" spans="4:16" ht="12" customHeight="1" x14ac:dyDescent="0.25"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</row>
    <row r="410" spans="4:16" ht="12" customHeight="1" x14ac:dyDescent="0.25"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</row>
    <row r="411" spans="4:16" ht="12" customHeight="1" x14ac:dyDescent="0.25"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</row>
    <row r="412" spans="4:16" ht="12" customHeight="1" x14ac:dyDescent="0.25"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</row>
    <row r="413" spans="4:16" ht="12" customHeight="1" x14ac:dyDescent="0.25"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</row>
    <row r="414" spans="4:16" ht="12" customHeight="1" x14ac:dyDescent="0.25"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</row>
    <row r="415" spans="4:16" ht="12" customHeight="1" x14ac:dyDescent="0.25"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</row>
    <row r="416" spans="4:16" ht="12" customHeight="1" x14ac:dyDescent="0.25"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</row>
    <row r="417" spans="4:16" ht="12" customHeight="1" x14ac:dyDescent="0.25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</row>
    <row r="418" spans="4:16" ht="12" customHeight="1" x14ac:dyDescent="0.25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19" spans="4:16" ht="12" customHeight="1" x14ac:dyDescent="0.25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</row>
    <row r="420" spans="4:16" ht="12" customHeight="1" x14ac:dyDescent="0.25"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</row>
    <row r="421" spans="4:16" ht="12" customHeight="1" x14ac:dyDescent="0.25"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</row>
    <row r="422" spans="4:16" ht="12" customHeight="1" x14ac:dyDescent="0.25"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</row>
    <row r="423" spans="4:16" ht="12" customHeight="1" x14ac:dyDescent="0.25"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</row>
    <row r="424" spans="4:16" ht="12" customHeight="1" x14ac:dyDescent="0.25"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</row>
    <row r="425" spans="4:16" ht="12" customHeight="1" x14ac:dyDescent="0.25"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</row>
    <row r="426" spans="4:16" ht="12" customHeight="1" x14ac:dyDescent="0.25"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4:16" ht="12" customHeight="1" x14ac:dyDescent="0.25"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4:16" ht="12" customHeight="1" x14ac:dyDescent="0.25"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</row>
    <row r="429" spans="4:16" ht="12" customHeight="1" x14ac:dyDescent="0.25"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</row>
    <row r="430" spans="4:16" ht="12" customHeight="1" x14ac:dyDescent="0.25"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</row>
    <row r="431" spans="4:16" ht="12" customHeight="1" x14ac:dyDescent="0.25"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</row>
    <row r="432" spans="4:16" ht="12" customHeight="1" x14ac:dyDescent="0.25"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</row>
    <row r="433" spans="4:16" ht="12" customHeight="1" x14ac:dyDescent="0.25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</row>
    <row r="434" spans="4:16" ht="12" customHeight="1" x14ac:dyDescent="0.25"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</row>
    <row r="435" spans="4:16" ht="12" customHeight="1" x14ac:dyDescent="0.25"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</row>
    <row r="436" spans="4:16" ht="12" customHeight="1" x14ac:dyDescent="0.25"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</row>
    <row r="437" spans="4:16" ht="12" customHeight="1" x14ac:dyDescent="0.25"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</row>
    <row r="438" spans="4:16" ht="12" customHeight="1" x14ac:dyDescent="0.25"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</row>
    <row r="439" spans="4:16" ht="12" customHeight="1" x14ac:dyDescent="0.25"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</row>
    <row r="440" spans="4:16" ht="12" customHeight="1" x14ac:dyDescent="0.25"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</row>
    <row r="441" spans="4:16" ht="12" customHeight="1" x14ac:dyDescent="0.25"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</row>
    <row r="442" spans="4:16" ht="12" customHeight="1" x14ac:dyDescent="0.25"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</row>
    <row r="443" spans="4:16" ht="12" customHeight="1" x14ac:dyDescent="0.25"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</row>
    <row r="444" spans="4:16" ht="12" customHeight="1" x14ac:dyDescent="0.25"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</row>
    <row r="445" spans="4:16" ht="12" customHeight="1" x14ac:dyDescent="0.25"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</row>
    <row r="446" spans="4:16" ht="12" customHeight="1" x14ac:dyDescent="0.25"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</row>
    <row r="447" spans="4:16" ht="12" customHeight="1" x14ac:dyDescent="0.25"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</row>
    <row r="448" spans="4:16" ht="12" customHeight="1" x14ac:dyDescent="0.25"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</row>
    <row r="449" spans="4:16" ht="12" customHeight="1" x14ac:dyDescent="0.25"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</row>
    <row r="450" spans="4:16" ht="12" customHeight="1" x14ac:dyDescent="0.25"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</row>
    <row r="451" spans="4:16" ht="12" customHeight="1" x14ac:dyDescent="0.25"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</row>
    <row r="452" spans="4:16" ht="12" customHeight="1" x14ac:dyDescent="0.25"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</row>
    <row r="453" spans="4:16" ht="12" customHeight="1" x14ac:dyDescent="0.25"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</row>
    <row r="454" spans="4:16" ht="12" customHeight="1" x14ac:dyDescent="0.25"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</row>
    <row r="455" spans="4:16" ht="12" customHeight="1" x14ac:dyDescent="0.25"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6" spans="4:16" ht="12" customHeight="1" x14ac:dyDescent="0.25"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</row>
    <row r="457" spans="4:16" ht="12" customHeight="1" x14ac:dyDescent="0.25"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</row>
    <row r="458" spans="4:16" ht="12" customHeight="1" x14ac:dyDescent="0.25"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</row>
    <row r="459" spans="4:16" ht="12" customHeight="1" x14ac:dyDescent="0.25"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</row>
    <row r="460" spans="4:16" ht="12" customHeight="1" x14ac:dyDescent="0.25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1" spans="4:16" ht="12" customHeight="1" x14ac:dyDescent="0.25"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</row>
    <row r="462" spans="4:16" ht="12" customHeight="1" x14ac:dyDescent="0.25"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</row>
    <row r="463" spans="4:16" ht="12" customHeight="1" x14ac:dyDescent="0.25"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</row>
    <row r="464" spans="4:16" ht="12" customHeight="1" x14ac:dyDescent="0.25"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</row>
    <row r="465" spans="4:16" ht="12" customHeight="1" x14ac:dyDescent="0.25"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</row>
    <row r="466" spans="4:16" ht="12" customHeight="1" x14ac:dyDescent="0.25"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</row>
    <row r="467" spans="4:16" ht="12" customHeight="1" x14ac:dyDescent="0.25"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</row>
    <row r="468" spans="4:16" ht="12" customHeight="1" x14ac:dyDescent="0.25"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</row>
    <row r="469" spans="4:16" ht="12" customHeight="1" x14ac:dyDescent="0.25"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</row>
    <row r="470" spans="4:16" ht="12" customHeight="1" x14ac:dyDescent="0.25"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</row>
    <row r="471" spans="4:16" ht="12" customHeight="1" x14ac:dyDescent="0.25"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</row>
    <row r="472" spans="4:16" ht="12" customHeight="1" x14ac:dyDescent="0.25"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</row>
    <row r="473" spans="4:16" ht="12" customHeight="1" x14ac:dyDescent="0.25"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</row>
    <row r="474" spans="4:16" ht="12" customHeight="1" x14ac:dyDescent="0.25"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</row>
    <row r="475" spans="4:16" ht="12" customHeight="1" x14ac:dyDescent="0.25"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</row>
    <row r="476" spans="4:16" ht="12" customHeight="1" x14ac:dyDescent="0.25"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</row>
    <row r="477" spans="4:16" ht="12" customHeight="1" x14ac:dyDescent="0.25"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</row>
    <row r="478" spans="4:16" ht="12" customHeight="1" x14ac:dyDescent="0.25"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</row>
    <row r="479" spans="4:16" ht="12" customHeight="1" x14ac:dyDescent="0.25"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</row>
    <row r="480" spans="4:16" ht="12" customHeight="1" x14ac:dyDescent="0.25"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</row>
    <row r="481" spans="4:16" ht="12" customHeight="1" x14ac:dyDescent="0.25"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</row>
    <row r="482" spans="4:16" ht="12" customHeight="1" x14ac:dyDescent="0.25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</row>
    <row r="483" spans="4:16" ht="12" customHeight="1" x14ac:dyDescent="0.25"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</row>
    <row r="484" spans="4:16" ht="12" customHeight="1" x14ac:dyDescent="0.25"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</row>
    <row r="485" spans="4:16" ht="12" customHeight="1" x14ac:dyDescent="0.25"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</row>
    <row r="486" spans="4:16" ht="12" customHeight="1" x14ac:dyDescent="0.25"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</row>
    <row r="487" spans="4:16" ht="12" customHeight="1" x14ac:dyDescent="0.25"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</row>
    <row r="488" spans="4:16" ht="12" customHeight="1" x14ac:dyDescent="0.25"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</row>
    <row r="489" spans="4:16" ht="12" customHeight="1" x14ac:dyDescent="0.25"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</row>
    <row r="490" spans="4:16" ht="12" customHeight="1" x14ac:dyDescent="0.25"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</row>
    <row r="491" spans="4:16" ht="12" customHeight="1" x14ac:dyDescent="0.25"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</row>
    <row r="492" spans="4:16" ht="12" customHeight="1" x14ac:dyDescent="0.25"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</row>
    <row r="493" spans="4:16" ht="12" customHeight="1" x14ac:dyDescent="0.25"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</row>
    <row r="494" spans="4:16" ht="12" customHeight="1" x14ac:dyDescent="0.25"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</row>
    <row r="495" spans="4:16" ht="12" customHeight="1" x14ac:dyDescent="0.25"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</row>
    <row r="496" spans="4:16" ht="12" customHeight="1" x14ac:dyDescent="0.25"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</row>
    <row r="497" spans="4:16" ht="12" customHeight="1" x14ac:dyDescent="0.25"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</row>
    <row r="498" spans="4:16" ht="12" customHeight="1" x14ac:dyDescent="0.25"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</row>
    <row r="499" spans="4:16" ht="12" customHeight="1" x14ac:dyDescent="0.25"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</row>
    <row r="500" spans="4:16" ht="12" customHeight="1" x14ac:dyDescent="0.25"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</row>
    <row r="501" spans="4:16" ht="12" customHeight="1" x14ac:dyDescent="0.25"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</row>
    <row r="502" spans="4:16" ht="12" customHeight="1" x14ac:dyDescent="0.25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3" spans="4:16" ht="12" customHeight="1" x14ac:dyDescent="0.25"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</row>
    <row r="504" spans="4:16" ht="12" customHeight="1" x14ac:dyDescent="0.25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</row>
    <row r="505" spans="4:16" ht="12" customHeight="1" x14ac:dyDescent="0.25"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</row>
    <row r="506" spans="4:16" ht="12" customHeight="1" x14ac:dyDescent="0.25"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</row>
    <row r="507" spans="4:16" ht="12" customHeight="1" x14ac:dyDescent="0.25"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</row>
    <row r="508" spans="4:16" ht="12" customHeight="1" x14ac:dyDescent="0.25"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</row>
    <row r="509" spans="4:16" ht="12" customHeight="1" x14ac:dyDescent="0.25"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</row>
    <row r="510" spans="4:16" ht="12" customHeight="1" x14ac:dyDescent="0.25"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</row>
    <row r="511" spans="4:16" ht="12" customHeight="1" x14ac:dyDescent="0.25"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</row>
    <row r="512" spans="4:16" ht="12" customHeight="1" x14ac:dyDescent="0.25"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3" spans="4:16" ht="12" customHeight="1" x14ac:dyDescent="0.25"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</row>
    <row r="514" spans="4:16" ht="12" customHeight="1" x14ac:dyDescent="0.25"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</row>
    <row r="515" spans="4:16" ht="12" customHeight="1" x14ac:dyDescent="0.25"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</row>
    <row r="516" spans="4:16" ht="12" customHeight="1" x14ac:dyDescent="0.25"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</row>
    <row r="517" spans="4:16" ht="12" customHeight="1" x14ac:dyDescent="0.25"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</row>
    <row r="518" spans="4:16" ht="12" customHeight="1" x14ac:dyDescent="0.25"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</row>
    <row r="519" spans="4:16" ht="12" customHeight="1" x14ac:dyDescent="0.25"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</row>
    <row r="520" spans="4:16" ht="12" customHeight="1" x14ac:dyDescent="0.25"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</row>
    <row r="521" spans="4:16" ht="12" customHeight="1" x14ac:dyDescent="0.25"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</row>
    <row r="522" spans="4:16" ht="12" customHeight="1" x14ac:dyDescent="0.25"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</row>
    <row r="523" spans="4:16" ht="12" customHeight="1" x14ac:dyDescent="0.25"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</row>
    <row r="524" spans="4:16" ht="12" customHeight="1" x14ac:dyDescent="0.25"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</row>
    <row r="525" spans="4:16" ht="12" customHeight="1" x14ac:dyDescent="0.25"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</row>
    <row r="526" spans="4:16" ht="12" customHeight="1" x14ac:dyDescent="0.25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</row>
    <row r="527" spans="4:16" ht="12" customHeight="1" x14ac:dyDescent="0.25"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</row>
    <row r="528" spans="4:16" ht="12" customHeight="1" x14ac:dyDescent="0.25"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</row>
    <row r="529" spans="4:16" ht="12" customHeight="1" x14ac:dyDescent="0.25"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</row>
    <row r="530" spans="4:16" ht="12" customHeight="1" x14ac:dyDescent="0.25"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</row>
    <row r="531" spans="4:16" ht="12" customHeight="1" x14ac:dyDescent="0.25"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</row>
    <row r="532" spans="4:16" ht="12" customHeight="1" x14ac:dyDescent="0.25"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</row>
    <row r="533" spans="4:16" ht="12" customHeight="1" x14ac:dyDescent="0.25"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</row>
    <row r="534" spans="4:16" ht="12" customHeight="1" x14ac:dyDescent="0.25"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</row>
    <row r="535" spans="4:16" ht="12" customHeight="1" x14ac:dyDescent="0.25"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</row>
    <row r="536" spans="4:16" ht="12" customHeight="1" x14ac:dyDescent="0.25"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</row>
    <row r="537" spans="4:16" ht="12" customHeight="1" x14ac:dyDescent="0.25"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</row>
    <row r="538" spans="4:16" ht="12" customHeight="1" x14ac:dyDescent="0.25"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</row>
    <row r="539" spans="4:16" ht="12" customHeight="1" x14ac:dyDescent="0.25"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</row>
    <row r="540" spans="4:16" ht="12" customHeight="1" x14ac:dyDescent="0.25"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</row>
    <row r="541" spans="4:16" ht="12" customHeight="1" x14ac:dyDescent="0.25"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</row>
    <row r="542" spans="4:16" ht="12" customHeight="1" x14ac:dyDescent="0.25"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</row>
    <row r="543" spans="4:16" ht="12" customHeight="1" x14ac:dyDescent="0.25"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</row>
    <row r="544" spans="4:16" ht="12" customHeight="1" x14ac:dyDescent="0.25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5" spans="4:16" ht="12" customHeight="1" x14ac:dyDescent="0.25"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</row>
    <row r="546" spans="4:16" ht="12" customHeight="1" x14ac:dyDescent="0.25"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</row>
    <row r="547" spans="4:16" ht="12" customHeight="1" x14ac:dyDescent="0.25"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</row>
    <row r="548" spans="4:16" ht="12" customHeight="1" x14ac:dyDescent="0.25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</row>
    <row r="549" spans="4:16" ht="12" customHeight="1" x14ac:dyDescent="0.25"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</row>
    <row r="550" spans="4:16" ht="12" customHeight="1" x14ac:dyDescent="0.25"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</row>
    <row r="551" spans="4:16" ht="12" customHeight="1" x14ac:dyDescent="0.25"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</row>
    <row r="552" spans="4:16" ht="12" customHeight="1" x14ac:dyDescent="0.25"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</row>
    <row r="553" spans="4:16" ht="12" customHeight="1" x14ac:dyDescent="0.25"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</row>
    <row r="554" spans="4:16" ht="12" customHeight="1" x14ac:dyDescent="0.25"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</row>
    <row r="555" spans="4:16" ht="12" customHeight="1" x14ac:dyDescent="0.25"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</row>
    <row r="556" spans="4:16" ht="12" customHeight="1" x14ac:dyDescent="0.25"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</row>
    <row r="557" spans="4:16" ht="12" customHeight="1" x14ac:dyDescent="0.25"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</row>
    <row r="558" spans="4:16" ht="12" customHeight="1" x14ac:dyDescent="0.25"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</row>
    <row r="559" spans="4:16" ht="12" customHeight="1" x14ac:dyDescent="0.25"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</row>
    <row r="560" spans="4:16" ht="12" customHeight="1" x14ac:dyDescent="0.25"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</row>
    <row r="561" spans="4:16" ht="12" customHeight="1" x14ac:dyDescent="0.25"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</row>
    <row r="562" spans="4:16" ht="12" customHeight="1" x14ac:dyDescent="0.25"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</row>
    <row r="563" spans="4:16" ht="12" customHeight="1" x14ac:dyDescent="0.25"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</row>
    <row r="564" spans="4:16" ht="12" customHeight="1" x14ac:dyDescent="0.25"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</row>
    <row r="565" spans="4:16" ht="12" customHeight="1" x14ac:dyDescent="0.25"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</row>
    <row r="566" spans="4:16" ht="12" customHeight="1" x14ac:dyDescent="0.25"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</row>
    <row r="567" spans="4:16" ht="12" customHeight="1" x14ac:dyDescent="0.25"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</row>
    <row r="568" spans="4:16" ht="12" customHeight="1" x14ac:dyDescent="0.25"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</row>
    <row r="569" spans="4:16" ht="12" customHeight="1" x14ac:dyDescent="0.25"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0" spans="4:16" ht="12" customHeight="1" x14ac:dyDescent="0.25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</row>
    <row r="571" spans="4:16" ht="12" customHeight="1" x14ac:dyDescent="0.25"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</row>
    <row r="572" spans="4:16" ht="12" customHeight="1" x14ac:dyDescent="0.25"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</row>
    <row r="573" spans="4:16" ht="12" customHeight="1" x14ac:dyDescent="0.25"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</row>
    <row r="574" spans="4:16" ht="12" customHeight="1" x14ac:dyDescent="0.25"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</row>
    <row r="575" spans="4:16" ht="12" customHeight="1" x14ac:dyDescent="0.25"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</row>
    <row r="576" spans="4:16" ht="12" customHeight="1" x14ac:dyDescent="0.25"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</row>
    <row r="577" spans="4:16" ht="12" customHeight="1" x14ac:dyDescent="0.25"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</row>
    <row r="578" spans="4:16" ht="12" customHeight="1" x14ac:dyDescent="0.25"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</row>
    <row r="579" spans="4:16" ht="12" customHeight="1" x14ac:dyDescent="0.25"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</row>
    <row r="580" spans="4:16" ht="12" customHeight="1" x14ac:dyDescent="0.25"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</row>
    <row r="581" spans="4:16" ht="12" customHeight="1" x14ac:dyDescent="0.25"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</row>
    <row r="582" spans="4:16" ht="12" customHeight="1" x14ac:dyDescent="0.25"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</row>
    <row r="583" spans="4:16" ht="12" customHeight="1" x14ac:dyDescent="0.25"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</row>
    <row r="584" spans="4:16" ht="12" customHeight="1" x14ac:dyDescent="0.25"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</row>
    <row r="585" spans="4:16" ht="12" customHeight="1" x14ac:dyDescent="0.25"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</row>
    <row r="586" spans="4:16" ht="12" customHeight="1" x14ac:dyDescent="0.25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7" spans="4:16" ht="12" customHeight="1" x14ac:dyDescent="0.25"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</row>
    <row r="588" spans="4:16" ht="12" customHeight="1" x14ac:dyDescent="0.25"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</row>
    <row r="589" spans="4:16" ht="12" customHeight="1" x14ac:dyDescent="0.25"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</row>
    <row r="590" spans="4:16" ht="12" customHeight="1" x14ac:dyDescent="0.25"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</row>
    <row r="591" spans="4:16" ht="12" customHeight="1" x14ac:dyDescent="0.25"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</row>
    <row r="592" spans="4:16" ht="12" customHeight="1" x14ac:dyDescent="0.25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</row>
    <row r="593" spans="4:16" ht="12" customHeight="1" x14ac:dyDescent="0.25"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</row>
    <row r="594" spans="4:16" ht="12" customHeight="1" x14ac:dyDescent="0.25"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</row>
    <row r="595" spans="4:16" ht="12" customHeight="1" x14ac:dyDescent="0.25"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</row>
    <row r="596" spans="4:16" ht="12" customHeight="1" x14ac:dyDescent="0.25"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</row>
    <row r="597" spans="4:16" ht="12" customHeight="1" x14ac:dyDescent="0.25"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</row>
    <row r="598" spans="4:16" ht="12" customHeight="1" x14ac:dyDescent="0.25"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</row>
    <row r="599" spans="4:16" ht="12" customHeight="1" x14ac:dyDescent="0.25"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</row>
    <row r="600" spans="4:16" ht="12" customHeight="1" x14ac:dyDescent="0.25"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</row>
    <row r="601" spans="4:16" ht="12" customHeight="1" x14ac:dyDescent="0.25"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</row>
    <row r="602" spans="4:16" ht="12" customHeight="1" x14ac:dyDescent="0.25"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</row>
    <row r="603" spans="4:16" ht="12" customHeight="1" x14ac:dyDescent="0.25"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</row>
    <row r="604" spans="4:16" ht="12" customHeight="1" x14ac:dyDescent="0.25"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</row>
    <row r="605" spans="4:16" ht="12" customHeight="1" x14ac:dyDescent="0.25"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</row>
    <row r="606" spans="4:16" ht="12" customHeight="1" x14ac:dyDescent="0.25"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</row>
    <row r="607" spans="4:16" ht="12" customHeight="1" x14ac:dyDescent="0.25"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</row>
    <row r="608" spans="4:16" ht="12" customHeight="1" x14ac:dyDescent="0.25"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</row>
    <row r="609" spans="4:16" ht="12" customHeight="1" x14ac:dyDescent="0.25"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</row>
    <row r="610" spans="4:16" ht="12" customHeight="1" x14ac:dyDescent="0.25"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</row>
    <row r="611" spans="4:16" ht="12" customHeight="1" x14ac:dyDescent="0.25"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</row>
    <row r="612" spans="4:16" ht="12" customHeight="1" x14ac:dyDescent="0.25"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</row>
    <row r="613" spans="4:16" ht="12" customHeight="1" x14ac:dyDescent="0.25"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</row>
    <row r="614" spans="4:16" ht="12" customHeight="1" x14ac:dyDescent="0.25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</row>
    <row r="615" spans="4:16" ht="12" customHeight="1" x14ac:dyDescent="0.25"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</row>
    <row r="616" spans="4:16" ht="12" customHeight="1" x14ac:dyDescent="0.25"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</row>
    <row r="617" spans="4:16" ht="12" customHeight="1" x14ac:dyDescent="0.25"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</row>
    <row r="618" spans="4:16" ht="12" customHeight="1" x14ac:dyDescent="0.25"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</row>
    <row r="619" spans="4:16" ht="12" customHeight="1" x14ac:dyDescent="0.25"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</row>
    <row r="620" spans="4:16" ht="12" customHeight="1" x14ac:dyDescent="0.25"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</row>
    <row r="621" spans="4:16" ht="12" customHeight="1" x14ac:dyDescent="0.25"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</row>
    <row r="622" spans="4:16" ht="12" customHeight="1" x14ac:dyDescent="0.25"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</row>
    <row r="623" spans="4:16" ht="12" customHeight="1" x14ac:dyDescent="0.25"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</row>
    <row r="624" spans="4:16" ht="12" customHeight="1" x14ac:dyDescent="0.25"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</row>
    <row r="625" spans="4:16" ht="12" customHeight="1" x14ac:dyDescent="0.25"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</row>
    <row r="626" spans="4:16" ht="12" customHeight="1" x14ac:dyDescent="0.25"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7" spans="4:16" ht="12" customHeight="1" x14ac:dyDescent="0.25"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</row>
    <row r="628" spans="4:16" ht="12" customHeight="1" x14ac:dyDescent="0.25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29" spans="4:16" ht="12" customHeight="1" x14ac:dyDescent="0.25"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</row>
    <row r="630" spans="4:16" ht="12" customHeight="1" x14ac:dyDescent="0.25"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</row>
    <row r="631" spans="4:16" ht="12" customHeight="1" x14ac:dyDescent="0.25"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</row>
    <row r="632" spans="4:16" ht="12" customHeight="1" x14ac:dyDescent="0.25"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</row>
    <row r="633" spans="4:16" ht="12" customHeight="1" x14ac:dyDescent="0.25"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</row>
    <row r="634" spans="4:16" ht="12" customHeight="1" x14ac:dyDescent="0.25"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</row>
    <row r="635" spans="4:16" ht="12" customHeight="1" x14ac:dyDescent="0.25"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</row>
    <row r="636" spans="4:16" ht="12" customHeight="1" x14ac:dyDescent="0.25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</row>
    <row r="637" spans="4:16" ht="12" customHeight="1" x14ac:dyDescent="0.25"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</row>
    <row r="638" spans="4:16" ht="12" customHeight="1" x14ac:dyDescent="0.25"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</row>
    <row r="639" spans="4:16" ht="12" customHeight="1" x14ac:dyDescent="0.25"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</row>
    <row r="640" spans="4:16" ht="12" customHeight="1" x14ac:dyDescent="0.25"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</row>
    <row r="641" spans="4:16" ht="12" customHeight="1" x14ac:dyDescent="0.25"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</row>
    <row r="642" spans="4:16" ht="12" customHeight="1" x14ac:dyDescent="0.25"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</row>
    <row r="643" spans="4:16" ht="12" customHeight="1" x14ac:dyDescent="0.25"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</row>
    <row r="644" spans="4:16" ht="12" customHeight="1" x14ac:dyDescent="0.25"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</row>
    <row r="645" spans="4:16" ht="12" customHeight="1" x14ac:dyDescent="0.25"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</row>
    <row r="646" spans="4:16" ht="12" customHeight="1" x14ac:dyDescent="0.25"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</row>
    <row r="647" spans="4:16" ht="12" customHeight="1" x14ac:dyDescent="0.25"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</row>
    <row r="648" spans="4:16" ht="12" customHeight="1" x14ac:dyDescent="0.25"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</row>
    <row r="649" spans="4:16" ht="12" customHeight="1" x14ac:dyDescent="0.25"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</row>
    <row r="650" spans="4:16" ht="12" customHeight="1" x14ac:dyDescent="0.25"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</row>
    <row r="651" spans="4:16" ht="12" customHeight="1" x14ac:dyDescent="0.25"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</row>
    <row r="652" spans="4:16" ht="12" customHeight="1" x14ac:dyDescent="0.25"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</row>
    <row r="653" spans="4:16" ht="12" customHeight="1" x14ac:dyDescent="0.25"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</row>
    <row r="654" spans="4:16" ht="12" customHeight="1" x14ac:dyDescent="0.25"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</row>
    <row r="655" spans="4:16" ht="12" customHeight="1" x14ac:dyDescent="0.25"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</row>
    <row r="656" spans="4:16" ht="12" customHeight="1" x14ac:dyDescent="0.25"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</row>
    <row r="657" spans="4:16" ht="12" customHeight="1" x14ac:dyDescent="0.25"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</row>
    <row r="658" spans="4:16" ht="12" customHeight="1" x14ac:dyDescent="0.25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</row>
    <row r="659" spans="4:16" ht="12" customHeight="1" x14ac:dyDescent="0.25"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</row>
    <row r="660" spans="4:16" ht="12" customHeight="1" x14ac:dyDescent="0.25"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</row>
    <row r="661" spans="4:16" ht="12" customHeight="1" x14ac:dyDescent="0.25"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</row>
    <row r="662" spans="4:16" ht="12" customHeight="1" x14ac:dyDescent="0.25"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</row>
    <row r="663" spans="4:16" ht="12" customHeight="1" x14ac:dyDescent="0.25"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</row>
    <row r="664" spans="4:16" ht="12" customHeight="1" x14ac:dyDescent="0.25"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</row>
    <row r="665" spans="4:16" ht="12" customHeight="1" x14ac:dyDescent="0.25"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</row>
    <row r="666" spans="4:16" ht="12" customHeight="1" x14ac:dyDescent="0.25"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</row>
    <row r="667" spans="4:16" ht="12" customHeight="1" x14ac:dyDescent="0.25"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</row>
    <row r="668" spans="4:16" ht="12" customHeight="1" x14ac:dyDescent="0.25"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</row>
    <row r="669" spans="4:16" ht="12" customHeight="1" x14ac:dyDescent="0.25"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</row>
    <row r="670" spans="4:16" ht="12" customHeight="1" x14ac:dyDescent="0.25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1" spans="4:16" ht="12" customHeight="1" x14ac:dyDescent="0.25"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</row>
    <row r="672" spans="4:16" ht="12" customHeight="1" x14ac:dyDescent="0.25"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</row>
    <row r="673" spans="4:16" ht="12" customHeight="1" x14ac:dyDescent="0.25"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</row>
    <row r="674" spans="4:16" ht="12" customHeight="1" x14ac:dyDescent="0.25"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</row>
    <row r="675" spans="4:16" ht="12" customHeight="1" x14ac:dyDescent="0.25"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</row>
    <row r="676" spans="4:16" ht="12" customHeight="1" x14ac:dyDescent="0.25"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</row>
    <row r="677" spans="4:16" ht="12" customHeight="1" x14ac:dyDescent="0.25"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</row>
    <row r="678" spans="4:16" ht="12" customHeight="1" x14ac:dyDescent="0.25"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</row>
    <row r="679" spans="4:16" ht="12" customHeight="1" x14ac:dyDescent="0.25"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</row>
    <row r="680" spans="4:16" ht="12" customHeight="1" x14ac:dyDescent="0.25"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</row>
    <row r="681" spans="4:16" ht="12" customHeight="1" x14ac:dyDescent="0.25"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</row>
    <row r="682" spans="4:16" ht="12" customHeight="1" x14ac:dyDescent="0.25"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</row>
    <row r="683" spans="4:16" ht="12" customHeight="1" x14ac:dyDescent="0.25"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4" spans="4:16" ht="12" customHeight="1" x14ac:dyDescent="0.25"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</row>
    <row r="685" spans="4:16" ht="12" customHeight="1" x14ac:dyDescent="0.25"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</row>
    <row r="686" spans="4:16" ht="12" customHeight="1" x14ac:dyDescent="0.25"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</row>
    <row r="687" spans="4:16" ht="12" customHeight="1" x14ac:dyDescent="0.25"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</row>
    <row r="688" spans="4:16" ht="12" customHeight="1" x14ac:dyDescent="0.25"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</row>
    <row r="689" spans="4:16" ht="12" customHeight="1" x14ac:dyDescent="0.25"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</row>
    <row r="690" spans="4:16" ht="12" customHeight="1" x14ac:dyDescent="0.25"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</row>
    <row r="691" spans="4:16" ht="12" customHeight="1" x14ac:dyDescent="0.25"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</row>
    <row r="692" spans="4:16" ht="12" customHeight="1" x14ac:dyDescent="0.25"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</row>
    <row r="693" spans="4:16" ht="12" customHeight="1" x14ac:dyDescent="0.25"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</row>
    <row r="694" spans="4:16" ht="12" customHeight="1" x14ac:dyDescent="0.25"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</row>
    <row r="695" spans="4:16" ht="12" customHeight="1" x14ac:dyDescent="0.25"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</row>
    <row r="696" spans="4:16" ht="12" customHeight="1" x14ac:dyDescent="0.25"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</row>
    <row r="697" spans="4:16" ht="12" customHeight="1" x14ac:dyDescent="0.25"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</row>
    <row r="698" spans="4:16" ht="12" customHeight="1" x14ac:dyDescent="0.25"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</row>
    <row r="699" spans="4:16" ht="12" customHeight="1" x14ac:dyDescent="0.25"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</row>
    <row r="700" spans="4:16" ht="12" customHeight="1" x14ac:dyDescent="0.25"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</row>
    <row r="701" spans="4:16" ht="12" customHeight="1" x14ac:dyDescent="0.25"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</row>
    <row r="702" spans="4:16" ht="12" customHeight="1" x14ac:dyDescent="0.25"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</row>
    <row r="703" spans="4:16" ht="12" customHeight="1" x14ac:dyDescent="0.25"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</row>
    <row r="704" spans="4:16" ht="12" customHeight="1" x14ac:dyDescent="0.25"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</row>
    <row r="705" spans="4:16" ht="12" customHeight="1" x14ac:dyDescent="0.25"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</row>
    <row r="706" spans="4:16" ht="12" customHeight="1" x14ac:dyDescent="0.25"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</row>
    <row r="707" spans="4:16" ht="12" customHeight="1" x14ac:dyDescent="0.25"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</row>
    <row r="708" spans="4:16" ht="12" customHeight="1" x14ac:dyDescent="0.25"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</row>
    <row r="709" spans="4:16" ht="12" customHeight="1" x14ac:dyDescent="0.25"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</row>
    <row r="710" spans="4:16" ht="12" customHeight="1" x14ac:dyDescent="0.25"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</row>
    <row r="711" spans="4:16" ht="12" customHeight="1" x14ac:dyDescent="0.25"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</row>
    <row r="712" spans="4:16" ht="12" customHeight="1" x14ac:dyDescent="0.25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3" spans="4:16" ht="12" customHeight="1" x14ac:dyDescent="0.25"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</row>
    <row r="714" spans="4:16" ht="12" customHeight="1" x14ac:dyDescent="0.25"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</row>
    <row r="715" spans="4:16" ht="12" customHeight="1" x14ac:dyDescent="0.25"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</row>
    <row r="716" spans="4:16" ht="12" customHeight="1" x14ac:dyDescent="0.25"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</row>
    <row r="717" spans="4:16" ht="12" customHeight="1" x14ac:dyDescent="0.25"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</row>
    <row r="718" spans="4:16" ht="12" customHeight="1" x14ac:dyDescent="0.25"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</row>
    <row r="719" spans="4:16" ht="12" customHeight="1" x14ac:dyDescent="0.25"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</row>
    <row r="720" spans="4:16" ht="12" customHeight="1" x14ac:dyDescent="0.25"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</row>
    <row r="721" spans="4:16" ht="12" customHeight="1" x14ac:dyDescent="0.25"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</row>
    <row r="722" spans="4:16" ht="12" customHeight="1" x14ac:dyDescent="0.25"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</row>
    <row r="723" spans="4:16" ht="12" customHeight="1" x14ac:dyDescent="0.25"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</row>
    <row r="724" spans="4:16" ht="12" customHeight="1" x14ac:dyDescent="0.25"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</row>
    <row r="725" spans="4:16" ht="12" customHeight="1" x14ac:dyDescent="0.25"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</row>
    <row r="726" spans="4:16" ht="12" customHeight="1" x14ac:dyDescent="0.25"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</row>
    <row r="727" spans="4:16" ht="12" customHeight="1" x14ac:dyDescent="0.25"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</row>
    <row r="728" spans="4:16" ht="12" customHeight="1" x14ac:dyDescent="0.25"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</row>
    <row r="729" spans="4:16" ht="12" customHeight="1" x14ac:dyDescent="0.25"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</row>
    <row r="730" spans="4:16" ht="12" customHeight="1" x14ac:dyDescent="0.25"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</row>
    <row r="731" spans="4:16" ht="12" customHeight="1" x14ac:dyDescent="0.25"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</row>
    <row r="732" spans="4:16" ht="12" customHeight="1" x14ac:dyDescent="0.25"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</row>
    <row r="733" spans="4:16" ht="12" customHeight="1" x14ac:dyDescent="0.25"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</row>
    <row r="734" spans="4:16" ht="12" customHeight="1" x14ac:dyDescent="0.25"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</row>
    <row r="735" spans="4:16" ht="12" customHeight="1" x14ac:dyDescent="0.25"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</row>
    <row r="736" spans="4:16" ht="12" customHeight="1" x14ac:dyDescent="0.25"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</row>
    <row r="737" spans="4:16" ht="12" customHeight="1" x14ac:dyDescent="0.25"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</row>
    <row r="738" spans="4:16" ht="12" customHeight="1" x14ac:dyDescent="0.25"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</row>
    <row r="739" spans="4:16" ht="12" customHeight="1" x14ac:dyDescent="0.25"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</row>
    <row r="740" spans="4:16" ht="12" customHeight="1" x14ac:dyDescent="0.25"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1" spans="4:16" ht="12" customHeight="1" x14ac:dyDescent="0.25"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</row>
    <row r="742" spans="4:16" ht="12" customHeight="1" x14ac:dyDescent="0.25"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</row>
    <row r="743" spans="4:16" ht="12" customHeight="1" x14ac:dyDescent="0.25"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</row>
    <row r="744" spans="4:16" ht="12" customHeight="1" x14ac:dyDescent="0.25"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</row>
    <row r="745" spans="4:16" ht="12" customHeight="1" x14ac:dyDescent="0.25"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</row>
    <row r="746" spans="4:16" ht="12" customHeight="1" x14ac:dyDescent="0.25"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</row>
    <row r="747" spans="4:16" ht="12" customHeight="1" x14ac:dyDescent="0.25"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</row>
    <row r="748" spans="4:16" ht="12" customHeight="1" x14ac:dyDescent="0.25"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</row>
    <row r="749" spans="4:16" ht="12" customHeight="1" x14ac:dyDescent="0.25"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</row>
    <row r="750" spans="4:16" ht="12" customHeight="1" x14ac:dyDescent="0.25"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</row>
    <row r="751" spans="4:16" ht="12" customHeight="1" x14ac:dyDescent="0.25"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</row>
    <row r="752" spans="4:16" ht="12" customHeight="1" x14ac:dyDescent="0.25"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</row>
    <row r="753" spans="4:16" ht="12" customHeight="1" x14ac:dyDescent="0.25"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</row>
    <row r="754" spans="4:16" ht="12" customHeight="1" x14ac:dyDescent="0.25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5" spans="4:16" ht="12" customHeight="1" x14ac:dyDescent="0.25"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</row>
    <row r="756" spans="4:16" ht="12" customHeight="1" x14ac:dyDescent="0.25"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</row>
    <row r="757" spans="4:16" ht="12" customHeight="1" x14ac:dyDescent="0.25"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</row>
    <row r="758" spans="4:16" ht="12" customHeight="1" x14ac:dyDescent="0.25"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</row>
    <row r="759" spans="4:16" ht="12" customHeight="1" x14ac:dyDescent="0.25"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</row>
    <row r="760" spans="4:16" ht="12" customHeight="1" x14ac:dyDescent="0.25"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</row>
    <row r="761" spans="4:16" ht="12" customHeight="1" x14ac:dyDescent="0.25"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</row>
    <row r="762" spans="4:16" ht="12" customHeight="1" x14ac:dyDescent="0.25"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</row>
    <row r="763" spans="4:16" ht="12" customHeight="1" x14ac:dyDescent="0.25"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</row>
    <row r="764" spans="4:16" ht="12" customHeight="1" x14ac:dyDescent="0.25"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</row>
    <row r="765" spans="4:16" ht="12" customHeight="1" x14ac:dyDescent="0.25"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</row>
    <row r="766" spans="4:16" ht="12" customHeight="1" x14ac:dyDescent="0.25"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</row>
    <row r="767" spans="4:16" ht="12" customHeight="1" x14ac:dyDescent="0.25"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</row>
    <row r="768" spans="4:16" ht="12" customHeight="1" x14ac:dyDescent="0.25"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</row>
    <row r="769" spans="4:16" ht="12" customHeight="1" x14ac:dyDescent="0.25"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</row>
    <row r="770" spans="4:16" ht="12" customHeight="1" x14ac:dyDescent="0.25"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</row>
    <row r="771" spans="4:16" ht="12" customHeight="1" x14ac:dyDescent="0.25"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</row>
    <row r="772" spans="4:16" ht="12" customHeight="1" x14ac:dyDescent="0.25"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</row>
    <row r="773" spans="4:16" ht="12" customHeight="1" x14ac:dyDescent="0.25"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</row>
    <row r="774" spans="4:16" ht="12" customHeight="1" x14ac:dyDescent="0.25"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</row>
    <row r="775" spans="4:16" ht="12" customHeight="1" x14ac:dyDescent="0.25"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</row>
    <row r="776" spans="4:16" ht="12" customHeight="1" x14ac:dyDescent="0.25"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</row>
    <row r="777" spans="4:16" ht="12" customHeight="1" x14ac:dyDescent="0.25"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</row>
    <row r="778" spans="4:16" ht="12" customHeight="1" x14ac:dyDescent="0.25"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</row>
    <row r="779" spans="4:16" ht="12" customHeight="1" x14ac:dyDescent="0.25"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</row>
    <row r="780" spans="4:16" ht="12" customHeight="1" x14ac:dyDescent="0.25"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</row>
    <row r="781" spans="4:16" ht="12" customHeight="1" x14ac:dyDescent="0.25"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</row>
    <row r="782" spans="4:16" ht="12" customHeight="1" x14ac:dyDescent="0.25"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</row>
    <row r="783" spans="4:16" ht="12" customHeight="1" x14ac:dyDescent="0.25"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</row>
    <row r="784" spans="4:16" ht="12" customHeight="1" x14ac:dyDescent="0.25"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</row>
    <row r="785" spans="4:16" ht="12" customHeight="1" x14ac:dyDescent="0.25"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</row>
    <row r="786" spans="4:16" ht="12" customHeight="1" x14ac:dyDescent="0.25"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</row>
    <row r="787" spans="4:16" ht="12" customHeight="1" x14ac:dyDescent="0.25"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</row>
    <row r="788" spans="4:16" ht="12" customHeight="1" x14ac:dyDescent="0.25"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</row>
    <row r="789" spans="4:16" ht="12" customHeight="1" x14ac:dyDescent="0.25"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</row>
    <row r="790" spans="4:16" ht="12" customHeight="1" x14ac:dyDescent="0.25"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</row>
    <row r="791" spans="4:16" ht="12" customHeight="1" x14ac:dyDescent="0.25"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</row>
    <row r="792" spans="4:16" ht="12" customHeight="1" x14ac:dyDescent="0.25"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</row>
    <row r="793" spans="4:16" ht="12" customHeight="1" x14ac:dyDescent="0.25"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</row>
    <row r="794" spans="4:16" ht="12" customHeight="1" x14ac:dyDescent="0.25"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</row>
    <row r="795" spans="4:16" ht="12" customHeight="1" x14ac:dyDescent="0.25"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</row>
    <row r="796" spans="4:16" ht="12" customHeight="1" x14ac:dyDescent="0.25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7" spans="4:16" ht="12" customHeight="1" x14ac:dyDescent="0.25"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8" spans="4:16" ht="12" customHeight="1" x14ac:dyDescent="0.25"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</row>
    <row r="799" spans="4:16" ht="12" customHeight="1" x14ac:dyDescent="0.25"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</row>
    <row r="800" spans="4:16" ht="12" customHeight="1" x14ac:dyDescent="0.25"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</row>
    <row r="801" spans="4:16" ht="12" customHeight="1" x14ac:dyDescent="0.25"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</row>
    <row r="802" spans="4:16" ht="12" customHeight="1" x14ac:dyDescent="0.25"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</row>
    <row r="803" spans="4:16" ht="12" customHeight="1" x14ac:dyDescent="0.25"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</row>
    <row r="804" spans="4:16" ht="12" customHeight="1" x14ac:dyDescent="0.25"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</row>
    <row r="805" spans="4:16" ht="12" customHeight="1" x14ac:dyDescent="0.25"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</row>
    <row r="806" spans="4:16" ht="12" customHeight="1" x14ac:dyDescent="0.25"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</row>
    <row r="807" spans="4:16" ht="12" customHeight="1" x14ac:dyDescent="0.25"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</row>
    <row r="808" spans="4:16" ht="12" customHeight="1" x14ac:dyDescent="0.25"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</row>
    <row r="809" spans="4:16" ht="12" customHeight="1" x14ac:dyDescent="0.25"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</row>
    <row r="810" spans="4:16" ht="12" customHeight="1" x14ac:dyDescent="0.25"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</row>
    <row r="811" spans="4:16" ht="12" customHeight="1" x14ac:dyDescent="0.25"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</row>
    <row r="812" spans="4:16" ht="12" customHeight="1" x14ac:dyDescent="0.25"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</row>
    <row r="813" spans="4:16" ht="12" customHeight="1" x14ac:dyDescent="0.25"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</row>
    <row r="814" spans="4:16" ht="12" customHeight="1" x14ac:dyDescent="0.25"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</row>
    <row r="815" spans="4:16" ht="12" customHeight="1" x14ac:dyDescent="0.25"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</row>
    <row r="816" spans="4:16" ht="12" customHeight="1" x14ac:dyDescent="0.25"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</row>
    <row r="817" spans="4:16" ht="12" customHeight="1" x14ac:dyDescent="0.25"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</row>
    <row r="818" spans="4:16" ht="12" customHeight="1" x14ac:dyDescent="0.25"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</row>
    <row r="819" spans="4:16" ht="12" customHeight="1" x14ac:dyDescent="0.25"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</row>
    <row r="820" spans="4:16" ht="12" customHeight="1" x14ac:dyDescent="0.25"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</row>
    <row r="821" spans="4:16" ht="12" customHeight="1" x14ac:dyDescent="0.25"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</row>
    <row r="822" spans="4:16" ht="12" customHeight="1" x14ac:dyDescent="0.25"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</row>
    <row r="823" spans="4:16" ht="12" customHeight="1" x14ac:dyDescent="0.25"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</row>
    <row r="824" spans="4:16" ht="12" customHeight="1" x14ac:dyDescent="0.25"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</row>
    <row r="825" spans="4:16" ht="12" customHeight="1" x14ac:dyDescent="0.25"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</row>
    <row r="826" spans="4:16" ht="12" customHeight="1" x14ac:dyDescent="0.25"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</row>
    <row r="827" spans="4:16" ht="12" customHeight="1" x14ac:dyDescent="0.25"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</row>
    <row r="828" spans="4:16" ht="12" customHeight="1" x14ac:dyDescent="0.25"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</row>
    <row r="829" spans="4:16" ht="12" customHeight="1" x14ac:dyDescent="0.25"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</row>
    <row r="830" spans="4:16" ht="12" customHeight="1" x14ac:dyDescent="0.25"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</row>
    <row r="831" spans="4:16" ht="12" customHeight="1" x14ac:dyDescent="0.25"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</row>
    <row r="832" spans="4:16" ht="12" customHeight="1" x14ac:dyDescent="0.25"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</row>
    <row r="833" spans="4:16" ht="12" customHeight="1" x14ac:dyDescent="0.25"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</row>
    <row r="834" spans="4:16" ht="12" customHeight="1" x14ac:dyDescent="0.25"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</row>
    <row r="835" spans="4:16" ht="12" customHeight="1" x14ac:dyDescent="0.25"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</row>
    <row r="836" spans="4:16" ht="12" customHeight="1" x14ac:dyDescent="0.25"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</row>
    <row r="837" spans="4:16" ht="12" customHeight="1" x14ac:dyDescent="0.25"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</row>
    <row r="838" spans="4:16" ht="12" customHeight="1" x14ac:dyDescent="0.25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39" spans="4:16" ht="12" customHeight="1" x14ac:dyDescent="0.25"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</row>
    <row r="840" spans="4:16" ht="12" customHeight="1" x14ac:dyDescent="0.25"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</row>
    <row r="841" spans="4:16" ht="12" customHeight="1" x14ac:dyDescent="0.25"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</row>
    <row r="842" spans="4:16" ht="12" customHeight="1" x14ac:dyDescent="0.25"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</row>
    <row r="843" spans="4:16" ht="12" customHeight="1" x14ac:dyDescent="0.25"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</row>
    <row r="844" spans="4:16" ht="12" customHeight="1" x14ac:dyDescent="0.25"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</row>
    <row r="845" spans="4:16" ht="12" customHeight="1" x14ac:dyDescent="0.25"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</row>
    <row r="846" spans="4:16" ht="12" customHeight="1" x14ac:dyDescent="0.25"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</row>
    <row r="847" spans="4:16" ht="12" customHeight="1" x14ac:dyDescent="0.25"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</row>
    <row r="848" spans="4:16" ht="12" customHeight="1" x14ac:dyDescent="0.25"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</row>
    <row r="849" spans="4:16" ht="12" customHeight="1" x14ac:dyDescent="0.25"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</row>
    <row r="850" spans="4:16" ht="12" customHeight="1" x14ac:dyDescent="0.25"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</row>
    <row r="851" spans="4:16" ht="12" customHeight="1" x14ac:dyDescent="0.25"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</row>
    <row r="852" spans="4:16" ht="12" customHeight="1" x14ac:dyDescent="0.25"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</row>
    <row r="853" spans="4:16" ht="12" customHeight="1" x14ac:dyDescent="0.25"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</row>
    <row r="854" spans="4:16" ht="12" customHeight="1" x14ac:dyDescent="0.25"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5" spans="4:16" ht="12" customHeight="1" x14ac:dyDescent="0.25"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</row>
    <row r="856" spans="4:16" ht="12" customHeight="1" x14ac:dyDescent="0.25"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</row>
    <row r="857" spans="4:16" ht="12" customHeight="1" x14ac:dyDescent="0.25"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</row>
    <row r="858" spans="4:16" ht="12" customHeight="1" x14ac:dyDescent="0.25"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</row>
    <row r="859" spans="4:16" ht="12" customHeight="1" x14ac:dyDescent="0.25"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</row>
    <row r="860" spans="4:16" ht="12" customHeight="1" x14ac:dyDescent="0.25"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</row>
    <row r="861" spans="4:16" ht="12" customHeight="1" x14ac:dyDescent="0.25"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</row>
    <row r="862" spans="4:16" ht="12" customHeight="1" x14ac:dyDescent="0.25"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</row>
    <row r="863" spans="4:16" ht="12" customHeight="1" x14ac:dyDescent="0.25"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</row>
    <row r="864" spans="4:16" ht="12" customHeight="1" x14ac:dyDescent="0.25"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</row>
    <row r="865" spans="4:16" ht="12" customHeight="1" x14ac:dyDescent="0.25"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</row>
    <row r="866" spans="4:16" ht="12" customHeight="1" x14ac:dyDescent="0.25"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</row>
    <row r="867" spans="4:16" ht="12" customHeight="1" x14ac:dyDescent="0.25"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</row>
    <row r="868" spans="4:16" ht="12" customHeight="1" x14ac:dyDescent="0.25"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</row>
    <row r="869" spans="4:16" ht="12" customHeight="1" x14ac:dyDescent="0.25"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</row>
    <row r="870" spans="4:16" ht="12" customHeight="1" x14ac:dyDescent="0.25"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</row>
    <row r="871" spans="4:16" ht="12" customHeight="1" x14ac:dyDescent="0.25"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</row>
    <row r="872" spans="4:16" ht="12" customHeight="1" x14ac:dyDescent="0.25"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</row>
    <row r="873" spans="4:16" ht="12" customHeight="1" x14ac:dyDescent="0.25"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</row>
    <row r="874" spans="4:16" ht="12" customHeight="1" x14ac:dyDescent="0.25"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</row>
    <row r="875" spans="4:16" ht="12" customHeight="1" x14ac:dyDescent="0.25"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</row>
    <row r="876" spans="4:16" ht="12" customHeight="1" x14ac:dyDescent="0.25"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</row>
    <row r="877" spans="4:16" ht="12" customHeight="1" x14ac:dyDescent="0.25"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</row>
    <row r="878" spans="4:16" ht="12" customHeight="1" x14ac:dyDescent="0.25"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</row>
    <row r="879" spans="4:16" ht="12" customHeight="1" x14ac:dyDescent="0.25"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</row>
    <row r="880" spans="4:16" ht="12" customHeight="1" x14ac:dyDescent="0.25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1" spans="4:16" ht="12" customHeight="1" x14ac:dyDescent="0.25"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</row>
    <row r="882" spans="4:16" ht="12" customHeight="1" x14ac:dyDescent="0.25"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</row>
    <row r="883" spans="4:16" ht="12" customHeight="1" x14ac:dyDescent="0.25"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</row>
    <row r="884" spans="4:16" ht="12" customHeight="1" x14ac:dyDescent="0.25"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</row>
    <row r="885" spans="4:16" ht="12" customHeight="1" x14ac:dyDescent="0.25"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</row>
    <row r="886" spans="4:16" ht="12" customHeight="1" x14ac:dyDescent="0.25"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</row>
    <row r="887" spans="4:16" ht="12" customHeight="1" x14ac:dyDescent="0.25"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</row>
    <row r="888" spans="4:16" ht="12" customHeight="1" x14ac:dyDescent="0.25"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</row>
    <row r="889" spans="4:16" ht="12" customHeight="1" x14ac:dyDescent="0.25"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</row>
    <row r="890" spans="4:16" ht="12" customHeight="1" x14ac:dyDescent="0.25"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</row>
    <row r="891" spans="4:16" ht="12" customHeight="1" x14ac:dyDescent="0.25"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</row>
    <row r="892" spans="4:16" ht="12" customHeight="1" x14ac:dyDescent="0.25"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</row>
    <row r="893" spans="4:16" ht="12" customHeight="1" x14ac:dyDescent="0.25"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</row>
    <row r="894" spans="4:16" ht="12" customHeight="1" x14ac:dyDescent="0.25"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</row>
    <row r="895" spans="4:16" ht="12" customHeight="1" x14ac:dyDescent="0.25"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</row>
    <row r="896" spans="4:16" ht="12" customHeight="1" x14ac:dyDescent="0.25"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</row>
    <row r="897" spans="4:16" ht="12" customHeight="1" x14ac:dyDescent="0.25"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</row>
    <row r="898" spans="4:16" ht="12" customHeight="1" x14ac:dyDescent="0.25"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</row>
    <row r="899" spans="4:16" ht="12" customHeight="1" x14ac:dyDescent="0.25"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</row>
    <row r="900" spans="4:16" ht="12" customHeight="1" x14ac:dyDescent="0.25"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</row>
    <row r="901" spans="4:16" ht="12" customHeight="1" x14ac:dyDescent="0.25"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</row>
    <row r="902" spans="4:16" ht="12" customHeight="1" x14ac:dyDescent="0.25"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</row>
    <row r="903" spans="4:16" ht="12" customHeight="1" x14ac:dyDescent="0.25"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</row>
    <row r="904" spans="4:16" ht="12" customHeight="1" x14ac:dyDescent="0.25"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</row>
    <row r="905" spans="4:16" ht="12" customHeight="1" x14ac:dyDescent="0.25"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</row>
    <row r="906" spans="4:16" ht="12" customHeight="1" x14ac:dyDescent="0.25"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</row>
    <row r="907" spans="4:16" ht="12" customHeight="1" x14ac:dyDescent="0.25"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</row>
    <row r="908" spans="4:16" ht="12" customHeight="1" x14ac:dyDescent="0.25"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</row>
    <row r="909" spans="4:16" ht="12" customHeight="1" x14ac:dyDescent="0.25"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</row>
    <row r="910" spans="4:16" ht="12" customHeight="1" x14ac:dyDescent="0.25"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</row>
    <row r="911" spans="4:16" ht="12" customHeight="1" x14ac:dyDescent="0.25"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2" spans="4:16" ht="12" customHeight="1" x14ac:dyDescent="0.25"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</row>
    <row r="913" spans="4:16" ht="12" customHeight="1" x14ac:dyDescent="0.25"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</row>
    <row r="914" spans="4:16" ht="12" customHeight="1" x14ac:dyDescent="0.25"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</row>
    <row r="915" spans="4:16" ht="12" customHeight="1" x14ac:dyDescent="0.25"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</row>
    <row r="916" spans="4:16" ht="12" customHeight="1" x14ac:dyDescent="0.25"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</row>
    <row r="917" spans="4:16" ht="12" customHeight="1" x14ac:dyDescent="0.25"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</row>
    <row r="918" spans="4:16" ht="12" customHeight="1" x14ac:dyDescent="0.25"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</row>
    <row r="919" spans="4:16" ht="12" customHeight="1" x14ac:dyDescent="0.25"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</row>
    <row r="920" spans="4:16" ht="12" customHeight="1" x14ac:dyDescent="0.25"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</row>
    <row r="921" spans="4:16" ht="12" customHeight="1" x14ac:dyDescent="0.25"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</row>
    <row r="922" spans="4:16" ht="12" customHeight="1" x14ac:dyDescent="0.25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3" spans="4:16" ht="12" customHeight="1" x14ac:dyDescent="0.25"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</row>
    <row r="924" spans="4:16" ht="12" customHeight="1" x14ac:dyDescent="0.25"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</row>
    <row r="925" spans="4:16" ht="12" customHeight="1" x14ac:dyDescent="0.25"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</row>
    <row r="926" spans="4:16" ht="12" customHeight="1" x14ac:dyDescent="0.25"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</row>
    <row r="927" spans="4:16" ht="12" customHeight="1" x14ac:dyDescent="0.25"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</row>
    <row r="928" spans="4:16" ht="12" customHeight="1" x14ac:dyDescent="0.25"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</row>
    <row r="929" spans="4:16" ht="12" customHeight="1" x14ac:dyDescent="0.25"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</row>
    <row r="930" spans="4:16" ht="12" customHeight="1" x14ac:dyDescent="0.25"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</row>
    <row r="931" spans="4:16" ht="12" customHeight="1" x14ac:dyDescent="0.25"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</row>
    <row r="932" spans="4:16" ht="12" customHeight="1" x14ac:dyDescent="0.25"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</row>
    <row r="933" spans="4:16" ht="12" customHeight="1" x14ac:dyDescent="0.25"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</row>
    <row r="934" spans="4:16" ht="12" customHeight="1" x14ac:dyDescent="0.25"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</row>
    <row r="935" spans="4:16" ht="12" customHeight="1" x14ac:dyDescent="0.25"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</row>
    <row r="936" spans="4:16" ht="12" customHeight="1" x14ac:dyDescent="0.25"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</row>
    <row r="937" spans="4:16" ht="12" customHeight="1" x14ac:dyDescent="0.25"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</row>
    <row r="938" spans="4:16" ht="12" customHeight="1" x14ac:dyDescent="0.25"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</row>
    <row r="939" spans="4:16" ht="12" customHeight="1" x14ac:dyDescent="0.25"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</row>
    <row r="940" spans="4:16" ht="12" customHeight="1" x14ac:dyDescent="0.25"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</row>
    <row r="941" spans="4:16" ht="12" customHeight="1" x14ac:dyDescent="0.25"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</row>
    <row r="942" spans="4:16" ht="12" customHeight="1" x14ac:dyDescent="0.25"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</row>
    <row r="943" spans="4:16" ht="12" customHeight="1" x14ac:dyDescent="0.25"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</row>
    <row r="944" spans="4:16" ht="12" customHeight="1" x14ac:dyDescent="0.25"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</row>
    <row r="945" spans="4:16" ht="12" customHeight="1" x14ac:dyDescent="0.25"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</row>
    <row r="946" spans="4:16" ht="12" customHeight="1" x14ac:dyDescent="0.25"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</row>
    <row r="947" spans="4:16" ht="12" customHeight="1" x14ac:dyDescent="0.25"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</row>
    <row r="948" spans="4:16" ht="12" customHeight="1" x14ac:dyDescent="0.25"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</row>
    <row r="949" spans="4:16" ht="12" customHeight="1" x14ac:dyDescent="0.25"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</row>
    <row r="950" spans="4:16" ht="12" customHeight="1" x14ac:dyDescent="0.25"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</row>
    <row r="951" spans="4:16" ht="12" customHeight="1" x14ac:dyDescent="0.25"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</row>
    <row r="952" spans="4:16" ht="12" customHeight="1" x14ac:dyDescent="0.25"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</row>
    <row r="953" spans="4:16" ht="12" customHeight="1" x14ac:dyDescent="0.25"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</row>
    <row r="954" spans="4:16" ht="12" customHeight="1" x14ac:dyDescent="0.25"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</row>
    <row r="955" spans="4:16" ht="12" customHeight="1" x14ac:dyDescent="0.25"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</row>
    <row r="956" spans="4:16" ht="12" customHeight="1" x14ac:dyDescent="0.25"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</row>
    <row r="957" spans="4:16" ht="12" customHeight="1" x14ac:dyDescent="0.25"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</row>
    <row r="958" spans="4:16" ht="12" customHeight="1" x14ac:dyDescent="0.25"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</row>
    <row r="959" spans="4:16" ht="12" customHeight="1" x14ac:dyDescent="0.25"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</row>
    <row r="960" spans="4:16" ht="12" customHeight="1" x14ac:dyDescent="0.25"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</row>
    <row r="961" spans="4:16" ht="12" customHeight="1" x14ac:dyDescent="0.25"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</row>
    <row r="962" spans="4:16" ht="12" customHeight="1" x14ac:dyDescent="0.25"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</row>
    <row r="963" spans="4:16" ht="12" customHeight="1" x14ac:dyDescent="0.25"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</row>
    <row r="964" spans="4:16" ht="12" customHeight="1" x14ac:dyDescent="0.25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5" spans="4:16" ht="12" customHeight="1" x14ac:dyDescent="0.25"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</row>
    <row r="966" spans="4:16" ht="12" customHeight="1" x14ac:dyDescent="0.25"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</row>
    <row r="967" spans="4:16" ht="12" customHeight="1" x14ac:dyDescent="0.25"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</row>
    <row r="968" spans="4:16" ht="12" customHeight="1" x14ac:dyDescent="0.25"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69" spans="4:16" ht="12" customHeight="1" x14ac:dyDescent="0.25"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</row>
    <row r="970" spans="4:16" ht="12" customHeight="1" x14ac:dyDescent="0.25"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</row>
    <row r="971" spans="4:16" ht="12" customHeight="1" x14ac:dyDescent="0.25"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</row>
    <row r="972" spans="4:16" ht="12" customHeight="1" x14ac:dyDescent="0.25"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</row>
    <row r="973" spans="4:16" ht="12" customHeight="1" x14ac:dyDescent="0.25"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</row>
    <row r="974" spans="4:16" ht="12" customHeight="1" x14ac:dyDescent="0.25"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</row>
    <row r="975" spans="4:16" ht="12" customHeight="1" x14ac:dyDescent="0.25"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</row>
    <row r="976" spans="4:16" ht="12" customHeight="1" x14ac:dyDescent="0.25"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</row>
    <row r="977" spans="4:16" ht="12" customHeight="1" x14ac:dyDescent="0.25"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</row>
    <row r="978" spans="4:16" ht="12" customHeight="1" x14ac:dyDescent="0.25"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</row>
    <row r="979" spans="4:16" ht="12" customHeight="1" x14ac:dyDescent="0.25"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</row>
    <row r="980" spans="4:16" ht="12" customHeight="1" x14ac:dyDescent="0.25"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</row>
    <row r="981" spans="4:16" ht="12" customHeight="1" x14ac:dyDescent="0.25"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</row>
    <row r="982" spans="4:16" ht="12" customHeight="1" x14ac:dyDescent="0.25"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</row>
    <row r="983" spans="4:16" ht="12" customHeight="1" x14ac:dyDescent="0.25"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</row>
    <row r="984" spans="4:16" ht="12" customHeight="1" x14ac:dyDescent="0.25"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</row>
    <row r="985" spans="4:16" ht="12" customHeight="1" x14ac:dyDescent="0.25"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</row>
    <row r="986" spans="4:16" ht="12" customHeight="1" x14ac:dyDescent="0.25"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</row>
    <row r="987" spans="4:16" ht="12" customHeight="1" x14ac:dyDescent="0.25"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</row>
    <row r="988" spans="4:16" ht="12" customHeight="1" x14ac:dyDescent="0.25"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</row>
    <row r="989" spans="4:16" ht="12" customHeight="1" x14ac:dyDescent="0.25"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</row>
    <row r="990" spans="4:16" ht="12" customHeight="1" x14ac:dyDescent="0.25"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</row>
    <row r="991" spans="4:16" ht="12" customHeight="1" x14ac:dyDescent="0.25"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</row>
    <row r="992" spans="4:16" ht="12" customHeight="1" x14ac:dyDescent="0.25"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</row>
    <row r="993" spans="4:16" ht="12" customHeight="1" x14ac:dyDescent="0.25"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</row>
    <row r="994" spans="4:16" ht="12" customHeight="1" x14ac:dyDescent="0.25"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</row>
    <row r="995" spans="4:16" ht="12" customHeight="1" x14ac:dyDescent="0.25"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</row>
    <row r="996" spans="4:16" ht="12" customHeight="1" x14ac:dyDescent="0.25"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</row>
    <row r="997" spans="4:16" ht="12" customHeight="1" x14ac:dyDescent="0.25"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</row>
    <row r="998" spans="4:16" ht="12" customHeight="1" x14ac:dyDescent="0.25"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</row>
    <row r="999" spans="4:16" ht="12" customHeight="1" x14ac:dyDescent="0.25"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</row>
    <row r="1000" spans="4:16" ht="12" customHeight="1" x14ac:dyDescent="0.25"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</row>
  </sheetData>
  <pageMargins left="0.39374999999999999" right="0.39374999999999999" top="0.59027777777777801" bottom="0.59027777777777801" header="0" footer="0"/>
  <pageSetup paperSize="9" orientation="landscape" horizontalDpi="300" verticalDpi="300"/>
  <headerFooter>
    <oddHeader>&amp;R&amp;D</oddHeader>
    <oddFooter>&amp;LEnergiaekspertti Janne Tiainen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zoomScaleNormal="100" workbookViewId="0"/>
  </sheetViews>
  <sheetFormatPr defaultColWidth="14.44140625" defaultRowHeight="13.2" x14ac:dyDescent="0.25"/>
  <cols>
    <col min="1" max="26" width="8.6640625" customWidth="1"/>
  </cols>
  <sheetData>
    <row r="1" spans="1:25" ht="12" customHeight="1" x14ac:dyDescent="0.3">
      <c r="A1" s="47">
        <v>1</v>
      </c>
      <c r="B1" s="47">
        <v>13.8</v>
      </c>
      <c r="C1" s="47">
        <v>24.5</v>
      </c>
      <c r="D1" s="47" t="s">
        <v>90</v>
      </c>
      <c r="E1" s="47" t="s">
        <v>90</v>
      </c>
      <c r="F1" s="47" t="s">
        <v>90</v>
      </c>
      <c r="G1" s="47" t="s">
        <v>90</v>
      </c>
      <c r="H1" s="47" t="s">
        <v>90</v>
      </c>
      <c r="I1" s="47" t="s">
        <v>90</v>
      </c>
      <c r="J1" s="47" t="s">
        <v>90</v>
      </c>
      <c r="K1" s="47" t="s">
        <v>90</v>
      </c>
      <c r="L1" s="47" t="s">
        <v>90</v>
      </c>
      <c r="M1" s="47" t="s">
        <v>90</v>
      </c>
      <c r="N1" s="47">
        <v>0</v>
      </c>
      <c r="O1" s="47">
        <v>0</v>
      </c>
      <c r="P1" s="47" t="s">
        <v>90</v>
      </c>
      <c r="Q1" s="47" t="s">
        <v>90</v>
      </c>
      <c r="R1" s="47" t="s">
        <v>90</v>
      </c>
      <c r="S1" s="47" t="s">
        <v>90</v>
      </c>
      <c r="T1" s="47" t="s">
        <v>90</v>
      </c>
      <c r="U1" s="47" t="s">
        <v>90</v>
      </c>
      <c r="V1" s="47" t="s">
        <v>90</v>
      </c>
      <c r="W1" s="47" t="s">
        <v>90</v>
      </c>
      <c r="X1" s="47" t="s">
        <v>90</v>
      </c>
      <c r="Y1" s="47" t="s">
        <v>90</v>
      </c>
    </row>
    <row r="2" spans="1:25" ht="12" customHeight="1" x14ac:dyDescent="0.3">
      <c r="A2" s="47">
        <v>2</v>
      </c>
      <c r="B2" s="47">
        <v>17.7</v>
      </c>
      <c r="C2" s="47">
        <v>22.1</v>
      </c>
      <c r="D2" s="47" t="s">
        <v>90</v>
      </c>
      <c r="E2" s="47" t="s">
        <v>90</v>
      </c>
      <c r="F2" s="47" t="s">
        <v>90</v>
      </c>
      <c r="G2" s="47" t="s">
        <v>90</v>
      </c>
      <c r="H2" s="47" t="s">
        <v>90</v>
      </c>
      <c r="I2" s="47" t="s">
        <v>90</v>
      </c>
      <c r="J2" s="47" t="s">
        <v>90</v>
      </c>
      <c r="K2" s="47" t="s">
        <v>90</v>
      </c>
      <c r="L2" s="47" t="s">
        <v>90</v>
      </c>
      <c r="M2" s="47" t="s">
        <v>90</v>
      </c>
      <c r="N2" s="47">
        <v>0</v>
      </c>
      <c r="O2" s="47">
        <v>0</v>
      </c>
      <c r="P2" s="47" t="s">
        <v>90</v>
      </c>
      <c r="Q2" s="47" t="s">
        <v>90</v>
      </c>
      <c r="R2" s="47" t="s">
        <v>90</v>
      </c>
      <c r="S2" s="47" t="s">
        <v>90</v>
      </c>
      <c r="T2" s="47" t="s">
        <v>90</v>
      </c>
      <c r="U2" s="47" t="s">
        <v>90</v>
      </c>
      <c r="V2" s="47" t="s">
        <v>90</v>
      </c>
      <c r="W2" s="47" t="s">
        <v>90</v>
      </c>
      <c r="X2" s="47" t="s">
        <v>90</v>
      </c>
      <c r="Y2" s="47" t="s">
        <v>90</v>
      </c>
    </row>
    <row r="3" spans="1:25" ht="12" customHeight="1" x14ac:dyDescent="0.3">
      <c r="A3" s="47">
        <v>3</v>
      </c>
      <c r="B3" s="47">
        <v>18.5</v>
      </c>
      <c r="C3" s="47">
        <v>19.2</v>
      </c>
      <c r="D3" s="47" t="s">
        <v>90</v>
      </c>
      <c r="E3" s="47" t="s">
        <v>90</v>
      </c>
      <c r="F3" s="47" t="s">
        <v>90</v>
      </c>
      <c r="G3" s="47" t="s">
        <v>90</v>
      </c>
      <c r="H3" s="47" t="s">
        <v>90</v>
      </c>
      <c r="I3" s="47" t="s">
        <v>90</v>
      </c>
      <c r="J3" s="47" t="s">
        <v>90</v>
      </c>
      <c r="K3" s="47" t="s">
        <v>90</v>
      </c>
      <c r="L3" s="47" t="s">
        <v>90</v>
      </c>
      <c r="M3" s="47" t="s">
        <v>90</v>
      </c>
      <c r="N3" s="47">
        <v>0</v>
      </c>
      <c r="O3" s="47">
        <v>0</v>
      </c>
      <c r="P3" s="47" t="s">
        <v>90</v>
      </c>
      <c r="Q3" s="47" t="s">
        <v>90</v>
      </c>
      <c r="R3" s="47" t="s">
        <v>90</v>
      </c>
      <c r="S3" s="47" t="s">
        <v>90</v>
      </c>
      <c r="T3" s="47" t="s">
        <v>90</v>
      </c>
      <c r="U3" s="47" t="s">
        <v>90</v>
      </c>
      <c r="V3" s="47" t="s">
        <v>90</v>
      </c>
      <c r="W3" s="47" t="s">
        <v>90</v>
      </c>
      <c r="X3" s="47" t="s">
        <v>90</v>
      </c>
      <c r="Y3" s="47" t="s">
        <v>90</v>
      </c>
    </row>
    <row r="4" spans="1:25" ht="12" customHeight="1" x14ac:dyDescent="0.3">
      <c r="A4" s="47">
        <v>4</v>
      </c>
      <c r="B4" s="47">
        <v>16.8</v>
      </c>
      <c r="C4" s="47">
        <v>17.100000000000001</v>
      </c>
      <c r="D4" s="47" t="s">
        <v>90</v>
      </c>
      <c r="E4" s="47" t="s">
        <v>90</v>
      </c>
      <c r="F4" s="47" t="s">
        <v>90</v>
      </c>
      <c r="G4" s="47" t="s">
        <v>90</v>
      </c>
      <c r="H4" s="47" t="s">
        <v>90</v>
      </c>
      <c r="I4" s="47" t="s">
        <v>90</v>
      </c>
      <c r="J4" s="47" t="s">
        <v>90</v>
      </c>
      <c r="K4" s="47" t="s">
        <v>90</v>
      </c>
      <c r="L4" s="47" t="s">
        <v>90</v>
      </c>
      <c r="M4" s="47" t="s">
        <v>90</v>
      </c>
      <c r="N4" s="47">
        <v>0</v>
      </c>
      <c r="O4" s="47">
        <v>0</v>
      </c>
      <c r="P4" s="47" t="s">
        <v>90</v>
      </c>
      <c r="Q4" s="47" t="s">
        <v>90</v>
      </c>
      <c r="R4" s="47" t="s">
        <v>90</v>
      </c>
      <c r="S4" s="47" t="s">
        <v>90</v>
      </c>
      <c r="T4" s="47" t="s">
        <v>90</v>
      </c>
      <c r="U4" s="47" t="s">
        <v>90</v>
      </c>
      <c r="V4" s="47" t="s">
        <v>90</v>
      </c>
      <c r="W4" s="47" t="s">
        <v>90</v>
      </c>
      <c r="X4" s="47" t="s">
        <v>90</v>
      </c>
      <c r="Y4" s="47" t="s">
        <v>90</v>
      </c>
    </row>
    <row r="5" spans="1:25" ht="12" customHeight="1" x14ac:dyDescent="0.3">
      <c r="A5" s="47">
        <v>5</v>
      </c>
      <c r="B5" s="47">
        <v>15.1</v>
      </c>
      <c r="C5" s="47">
        <v>20.3</v>
      </c>
      <c r="D5" s="47" t="s">
        <v>90</v>
      </c>
      <c r="E5" s="47" t="s">
        <v>90</v>
      </c>
      <c r="F5" s="47" t="s">
        <v>90</v>
      </c>
      <c r="G5" s="47" t="s">
        <v>90</v>
      </c>
      <c r="H5" s="47" t="s">
        <v>90</v>
      </c>
      <c r="I5" s="47" t="s">
        <v>90</v>
      </c>
      <c r="J5" s="47" t="s">
        <v>90</v>
      </c>
      <c r="K5" s="47" t="s">
        <v>90</v>
      </c>
      <c r="L5" s="47" t="s">
        <v>90</v>
      </c>
      <c r="M5" s="47" t="s">
        <v>90</v>
      </c>
      <c r="N5" s="47">
        <v>0</v>
      </c>
      <c r="O5" s="47">
        <v>0</v>
      </c>
      <c r="P5" s="47" t="s">
        <v>90</v>
      </c>
      <c r="Q5" s="47" t="s">
        <v>90</v>
      </c>
      <c r="R5" s="47" t="s">
        <v>90</v>
      </c>
      <c r="S5" s="47" t="s">
        <v>90</v>
      </c>
      <c r="T5" s="47" t="s">
        <v>90</v>
      </c>
      <c r="U5" s="47" t="s">
        <v>90</v>
      </c>
      <c r="V5" s="47" t="s">
        <v>90</v>
      </c>
      <c r="W5" s="47" t="s">
        <v>90</v>
      </c>
      <c r="X5" s="47" t="s">
        <v>90</v>
      </c>
      <c r="Y5" s="47" t="s">
        <v>90</v>
      </c>
    </row>
    <row r="6" spans="1:25" ht="12" customHeight="1" x14ac:dyDescent="0.3">
      <c r="A6" s="47">
        <v>6</v>
      </c>
      <c r="B6" s="47">
        <v>16.8</v>
      </c>
      <c r="C6" s="47">
        <v>22.8</v>
      </c>
      <c r="D6" s="47" t="s">
        <v>90</v>
      </c>
      <c r="E6" s="47" t="s">
        <v>90</v>
      </c>
      <c r="F6" s="47" t="s">
        <v>90</v>
      </c>
      <c r="G6" s="47" t="s">
        <v>90</v>
      </c>
      <c r="H6" s="47" t="s">
        <v>90</v>
      </c>
      <c r="I6" s="47" t="s">
        <v>90</v>
      </c>
      <c r="J6" s="47" t="s">
        <v>90</v>
      </c>
      <c r="K6" s="47" t="s">
        <v>90</v>
      </c>
      <c r="L6" s="47" t="s">
        <v>90</v>
      </c>
      <c r="M6" s="47" t="s">
        <v>90</v>
      </c>
      <c r="N6" s="47">
        <v>0</v>
      </c>
      <c r="O6" s="47">
        <v>0</v>
      </c>
      <c r="P6" s="47" t="s">
        <v>90</v>
      </c>
      <c r="Q6" s="47" t="s">
        <v>90</v>
      </c>
      <c r="R6" s="47" t="s">
        <v>90</v>
      </c>
      <c r="S6" s="47" t="s">
        <v>90</v>
      </c>
      <c r="T6" s="47" t="s">
        <v>90</v>
      </c>
      <c r="U6" s="47" t="s">
        <v>90</v>
      </c>
      <c r="V6" s="47" t="s">
        <v>90</v>
      </c>
      <c r="W6" s="47" t="s">
        <v>90</v>
      </c>
      <c r="X6" s="47" t="s">
        <v>90</v>
      </c>
      <c r="Y6" s="47" t="s">
        <v>90</v>
      </c>
    </row>
    <row r="7" spans="1:25" ht="12" customHeight="1" x14ac:dyDescent="0.3">
      <c r="A7" s="47">
        <v>7</v>
      </c>
      <c r="B7" s="47">
        <v>15.4</v>
      </c>
      <c r="C7" s="47">
        <v>22.8</v>
      </c>
      <c r="D7" s="47" t="s">
        <v>90</v>
      </c>
      <c r="E7" s="47" t="s">
        <v>90</v>
      </c>
      <c r="F7" s="47" t="s">
        <v>90</v>
      </c>
      <c r="G7" s="47" t="s">
        <v>90</v>
      </c>
      <c r="H7" s="47" t="s">
        <v>90</v>
      </c>
      <c r="I7" s="47" t="s">
        <v>90</v>
      </c>
      <c r="J7" s="47" t="s">
        <v>90</v>
      </c>
      <c r="K7" s="47" t="s">
        <v>90</v>
      </c>
      <c r="L7" s="47" t="s">
        <v>90</v>
      </c>
      <c r="M7" s="47" t="s">
        <v>90</v>
      </c>
      <c r="N7" s="47">
        <v>0</v>
      </c>
      <c r="O7" s="47">
        <v>0</v>
      </c>
      <c r="P7" s="47" t="s">
        <v>90</v>
      </c>
      <c r="Q7" s="47" t="s">
        <v>90</v>
      </c>
      <c r="R7" s="47" t="s">
        <v>90</v>
      </c>
      <c r="S7" s="47" t="s">
        <v>90</v>
      </c>
      <c r="T7" s="47" t="s">
        <v>90</v>
      </c>
      <c r="U7" s="47" t="s">
        <v>90</v>
      </c>
      <c r="V7" s="47" t="s">
        <v>90</v>
      </c>
      <c r="W7" s="47" t="s">
        <v>90</v>
      </c>
      <c r="X7" s="47" t="s">
        <v>90</v>
      </c>
      <c r="Y7" s="47" t="s">
        <v>90</v>
      </c>
    </row>
    <row r="8" spans="1:25" ht="12" customHeight="1" x14ac:dyDescent="0.3">
      <c r="A8" s="47">
        <v>8</v>
      </c>
      <c r="B8" s="47">
        <v>15.5</v>
      </c>
      <c r="C8" s="47">
        <v>17.100000000000001</v>
      </c>
      <c r="D8" s="47" t="s">
        <v>90</v>
      </c>
      <c r="E8" s="47" t="s">
        <v>90</v>
      </c>
      <c r="F8" s="47" t="s">
        <v>90</v>
      </c>
      <c r="G8" s="47" t="s">
        <v>90</v>
      </c>
      <c r="H8" s="47" t="s">
        <v>90</v>
      </c>
      <c r="I8" s="47" t="s">
        <v>90</v>
      </c>
      <c r="J8" s="47" t="s">
        <v>90</v>
      </c>
      <c r="K8" s="47" t="s">
        <v>90</v>
      </c>
      <c r="L8" s="47" t="s">
        <v>90</v>
      </c>
      <c r="M8" s="47" t="s">
        <v>90</v>
      </c>
      <c r="N8" s="47">
        <v>0</v>
      </c>
      <c r="O8" s="47">
        <v>0</v>
      </c>
      <c r="P8" s="47" t="s">
        <v>90</v>
      </c>
      <c r="Q8" s="47" t="s">
        <v>90</v>
      </c>
      <c r="R8" s="47" t="s">
        <v>90</v>
      </c>
      <c r="S8" s="47" t="s">
        <v>90</v>
      </c>
      <c r="T8" s="47" t="s">
        <v>90</v>
      </c>
      <c r="U8" s="47" t="s">
        <v>90</v>
      </c>
      <c r="V8" s="47" t="s">
        <v>90</v>
      </c>
      <c r="W8" s="47" t="s">
        <v>90</v>
      </c>
      <c r="X8" s="47" t="s">
        <v>90</v>
      </c>
      <c r="Y8" s="47" t="s">
        <v>90</v>
      </c>
    </row>
    <row r="9" spans="1:25" ht="12" customHeight="1" x14ac:dyDescent="0.3">
      <c r="A9" s="47">
        <v>9</v>
      </c>
      <c r="B9" s="47">
        <v>14.4</v>
      </c>
      <c r="C9" s="47">
        <v>15.6</v>
      </c>
      <c r="D9" s="47" t="s">
        <v>90</v>
      </c>
      <c r="E9" s="47" t="s">
        <v>90</v>
      </c>
      <c r="F9" s="47" t="s">
        <v>90</v>
      </c>
      <c r="G9" s="47" t="s">
        <v>90</v>
      </c>
      <c r="H9" s="47" t="s">
        <v>90</v>
      </c>
      <c r="I9" s="47" t="s">
        <v>90</v>
      </c>
      <c r="J9" s="47" t="s">
        <v>90</v>
      </c>
      <c r="K9" s="47" t="s">
        <v>90</v>
      </c>
      <c r="L9" s="47" t="s">
        <v>90</v>
      </c>
      <c r="M9" s="47" t="s">
        <v>90</v>
      </c>
      <c r="N9" s="47">
        <v>0</v>
      </c>
      <c r="O9" s="47">
        <v>0</v>
      </c>
      <c r="P9" s="47" t="s">
        <v>90</v>
      </c>
      <c r="Q9" s="47" t="s">
        <v>90</v>
      </c>
      <c r="R9" s="47" t="s">
        <v>90</v>
      </c>
      <c r="S9" s="47" t="s">
        <v>90</v>
      </c>
      <c r="T9" s="47" t="s">
        <v>90</v>
      </c>
      <c r="U9" s="47" t="s">
        <v>90</v>
      </c>
      <c r="V9" s="47" t="s">
        <v>90</v>
      </c>
      <c r="W9" s="47" t="s">
        <v>90</v>
      </c>
      <c r="X9" s="47" t="s">
        <v>90</v>
      </c>
      <c r="Y9" s="47" t="s">
        <v>90</v>
      </c>
    </row>
    <row r="10" spans="1:25" ht="12" customHeight="1" x14ac:dyDescent="0.3">
      <c r="A10" s="47">
        <v>10</v>
      </c>
      <c r="B10" s="47">
        <v>17.100000000000001</v>
      </c>
      <c r="C10" s="47">
        <v>16.100000000000001</v>
      </c>
      <c r="D10" s="47" t="s">
        <v>90</v>
      </c>
      <c r="E10" s="47" t="s">
        <v>90</v>
      </c>
      <c r="F10" s="47" t="s">
        <v>90</v>
      </c>
      <c r="G10" s="47" t="s">
        <v>90</v>
      </c>
      <c r="H10" s="47" t="s">
        <v>90</v>
      </c>
      <c r="I10" s="47" t="s">
        <v>90</v>
      </c>
      <c r="J10" s="47" t="s">
        <v>90</v>
      </c>
      <c r="K10" s="47" t="s">
        <v>90</v>
      </c>
      <c r="L10" s="47" t="s">
        <v>90</v>
      </c>
      <c r="M10" s="47" t="s">
        <v>90</v>
      </c>
      <c r="N10" s="47">
        <v>0</v>
      </c>
      <c r="O10" s="47">
        <v>0</v>
      </c>
      <c r="P10" s="47" t="s">
        <v>90</v>
      </c>
      <c r="Q10" s="47" t="s">
        <v>90</v>
      </c>
      <c r="R10" s="47" t="s">
        <v>90</v>
      </c>
      <c r="S10" s="47" t="s">
        <v>90</v>
      </c>
      <c r="T10" s="47" t="s">
        <v>90</v>
      </c>
      <c r="U10" s="47" t="s">
        <v>90</v>
      </c>
      <c r="V10" s="47" t="s">
        <v>90</v>
      </c>
      <c r="W10" s="47" t="s">
        <v>90</v>
      </c>
      <c r="X10" s="47" t="s">
        <v>90</v>
      </c>
      <c r="Y10" s="47" t="s">
        <v>90</v>
      </c>
    </row>
    <row r="11" spans="1:25" ht="12" customHeight="1" x14ac:dyDescent="0.3">
      <c r="A11" s="47">
        <v>11</v>
      </c>
      <c r="B11" s="47">
        <v>23.4</v>
      </c>
      <c r="C11" s="47">
        <v>16.7</v>
      </c>
      <c r="D11" s="47" t="s">
        <v>90</v>
      </c>
      <c r="E11" s="47" t="s">
        <v>90</v>
      </c>
      <c r="F11" s="47" t="s">
        <v>90</v>
      </c>
      <c r="G11" s="47" t="s">
        <v>90</v>
      </c>
      <c r="H11" s="47" t="s">
        <v>90</v>
      </c>
      <c r="I11" s="47" t="s">
        <v>90</v>
      </c>
      <c r="J11" s="47" t="s">
        <v>90</v>
      </c>
      <c r="K11" s="47" t="s">
        <v>90</v>
      </c>
      <c r="L11" s="47" t="s">
        <v>90</v>
      </c>
      <c r="M11" s="47" t="s">
        <v>90</v>
      </c>
      <c r="N11" s="47">
        <v>0</v>
      </c>
      <c r="O11" s="47">
        <v>0</v>
      </c>
      <c r="P11" s="47" t="s">
        <v>90</v>
      </c>
      <c r="Q11" s="47" t="s">
        <v>90</v>
      </c>
      <c r="R11" s="47" t="s">
        <v>90</v>
      </c>
      <c r="S11" s="47" t="s">
        <v>90</v>
      </c>
      <c r="T11" s="47" t="s">
        <v>90</v>
      </c>
      <c r="U11" s="47" t="s">
        <v>90</v>
      </c>
      <c r="V11" s="47" t="s">
        <v>90</v>
      </c>
      <c r="W11" s="47" t="s">
        <v>90</v>
      </c>
      <c r="X11" s="47" t="s">
        <v>90</v>
      </c>
      <c r="Y11" s="47" t="s">
        <v>90</v>
      </c>
    </row>
    <row r="12" spans="1:25" ht="12" customHeight="1" x14ac:dyDescent="0.3">
      <c r="A12" s="47">
        <v>12</v>
      </c>
      <c r="B12" s="47">
        <v>25.7</v>
      </c>
      <c r="C12" s="47">
        <v>16.399999999999999</v>
      </c>
      <c r="D12" s="47" t="s">
        <v>90</v>
      </c>
      <c r="E12" s="47" t="s">
        <v>90</v>
      </c>
      <c r="F12" s="47" t="s">
        <v>90</v>
      </c>
      <c r="G12" s="47" t="s">
        <v>90</v>
      </c>
      <c r="H12" s="47" t="s">
        <v>90</v>
      </c>
      <c r="I12" s="47" t="s">
        <v>90</v>
      </c>
      <c r="J12" s="47" t="s">
        <v>90</v>
      </c>
      <c r="K12" s="47" t="s">
        <v>90</v>
      </c>
      <c r="L12" s="47" t="s">
        <v>90</v>
      </c>
      <c r="M12" s="47" t="s">
        <v>90</v>
      </c>
      <c r="N12" s="47">
        <v>0</v>
      </c>
      <c r="O12" s="47">
        <v>0</v>
      </c>
      <c r="P12" s="47" t="s">
        <v>90</v>
      </c>
      <c r="Q12" s="47" t="s">
        <v>90</v>
      </c>
      <c r="R12" s="47" t="s">
        <v>90</v>
      </c>
      <c r="S12" s="47" t="s">
        <v>90</v>
      </c>
      <c r="T12" s="47" t="s">
        <v>90</v>
      </c>
      <c r="U12" s="47" t="s">
        <v>90</v>
      </c>
      <c r="V12" s="47" t="s">
        <v>90</v>
      </c>
      <c r="W12" s="47" t="s">
        <v>90</v>
      </c>
      <c r="X12" s="47" t="s">
        <v>90</v>
      </c>
      <c r="Y12" s="47" t="s">
        <v>90</v>
      </c>
    </row>
    <row r="13" spans="1:25" ht="12" customHeight="1" x14ac:dyDescent="0.3">
      <c r="A13" s="47">
        <v>13</v>
      </c>
      <c r="B13" s="47">
        <v>26.9</v>
      </c>
      <c r="C13" s="47">
        <v>16.5</v>
      </c>
      <c r="D13" s="47" t="s">
        <v>90</v>
      </c>
      <c r="E13" s="47" t="s">
        <v>90</v>
      </c>
      <c r="F13" s="47" t="s">
        <v>90</v>
      </c>
      <c r="G13" s="47" t="s">
        <v>90</v>
      </c>
      <c r="H13" s="47" t="s">
        <v>90</v>
      </c>
      <c r="I13" s="47" t="s">
        <v>90</v>
      </c>
      <c r="J13" s="47" t="s">
        <v>90</v>
      </c>
      <c r="K13" s="47" t="s">
        <v>90</v>
      </c>
      <c r="L13" s="47" t="s">
        <v>90</v>
      </c>
      <c r="M13" s="47" t="s">
        <v>90</v>
      </c>
      <c r="N13" s="47">
        <v>0</v>
      </c>
      <c r="O13" s="47">
        <v>0</v>
      </c>
      <c r="P13" s="47" t="s">
        <v>90</v>
      </c>
      <c r="Q13" s="47" t="s">
        <v>90</v>
      </c>
      <c r="R13" s="47" t="s">
        <v>90</v>
      </c>
      <c r="S13" s="47" t="s">
        <v>90</v>
      </c>
      <c r="T13" s="47" t="s">
        <v>90</v>
      </c>
      <c r="U13" s="47" t="s">
        <v>90</v>
      </c>
      <c r="V13" s="47" t="s">
        <v>90</v>
      </c>
      <c r="W13" s="47" t="s">
        <v>90</v>
      </c>
      <c r="X13" s="47" t="s">
        <v>90</v>
      </c>
      <c r="Y13" s="47" t="s">
        <v>90</v>
      </c>
    </row>
    <row r="14" spans="1:25" ht="12" customHeight="1" x14ac:dyDescent="0.3">
      <c r="A14" s="47">
        <v>14</v>
      </c>
      <c r="B14" s="47">
        <v>31</v>
      </c>
      <c r="C14" s="47">
        <v>16.7</v>
      </c>
      <c r="D14" s="47" t="s">
        <v>90</v>
      </c>
      <c r="E14" s="47" t="s">
        <v>90</v>
      </c>
      <c r="F14" s="47" t="s">
        <v>90</v>
      </c>
      <c r="G14" s="47" t="s">
        <v>90</v>
      </c>
      <c r="H14" s="47" t="s">
        <v>90</v>
      </c>
      <c r="I14" s="47" t="s">
        <v>90</v>
      </c>
      <c r="J14" s="47" t="s">
        <v>90</v>
      </c>
      <c r="K14" s="47" t="s">
        <v>90</v>
      </c>
      <c r="L14" s="47" t="s">
        <v>90</v>
      </c>
      <c r="M14" s="47" t="s">
        <v>90</v>
      </c>
      <c r="N14" s="47">
        <v>0</v>
      </c>
      <c r="O14" s="47">
        <v>0</v>
      </c>
      <c r="P14" s="47" t="s">
        <v>90</v>
      </c>
      <c r="Q14" s="47" t="s">
        <v>90</v>
      </c>
      <c r="R14" s="47" t="s">
        <v>90</v>
      </c>
      <c r="S14" s="47" t="s">
        <v>90</v>
      </c>
      <c r="T14" s="47" t="s">
        <v>90</v>
      </c>
      <c r="U14" s="47" t="s">
        <v>90</v>
      </c>
      <c r="V14" s="47" t="s">
        <v>90</v>
      </c>
      <c r="W14" s="47" t="s">
        <v>90</v>
      </c>
      <c r="X14" s="47" t="s">
        <v>90</v>
      </c>
      <c r="Y14" s="47" t="s">
        <v>90</v>
      </c>
    </row>
    <row r="15" spans="1:25" ht="12" customHeight="1" x14ac:dyDescent="0.3">
      <c r="A15" s="47">
        <v>15</v>
      </c>
      <c r="B15" s="47">
        <v>29.5</v>
      </c>
      <c r="C15" s="47">
        <v>17.3</v>
      </c>
      <c r="D15" s="47" t="s">
        <v>90</v>
      </c>
      <c r="E15" s="47" t="s">
        <v>90</v>
      </c>
      <c r="F15" s="47" t="s">
        <v>90</v>
      </c>
      <c r="G15" s="47" t="s">
        <v>90</v>
      </c>
      <c r="H15" s="47" t="s">
        <v>90</v>
      </c>
      <c r="I15" s="47" t="s">
        <v>90</v>
      </c>
      <c r="J15" s="47" t="s">
        <v>90</v>
      </c>
      <c r="K15" s="47" t="s">
        <v>90</v>
      </c>
      <c r="L15" s="47" t="s">
        <v>90</v>
      </c>
      <c r="M15" s="47" t="s">
        <v>90</v>
      </c>
      <c r="N15" s="47">
        <v>0</v>
      </c>
      <c r="O15" s="47">
        <v>0</v>
      </c>
      <c r="P15" s="47" t="s">
        <v>90</v>
      </c>
      <c r="Q15" s="47" t="s">
        <v>90</v>
      </c>
      <c r="R15" s="47" t="s">
        <v>90</v>
      </c>
      <c r="S15" s="47" t="s">
        <v>90</v>
      </c>
      <c r="T15" s="47" t="s">
        <v>90</v>
      </c>
      <c r="U15" s="47" t="s">
        <v>90</v>
      </c>
      <c r="V15" s="47" t="s">
        <v>90</v>
      </c>
      <c r="W15" s="47" t="s">
        <v>90</v>
      </c>
      <c r="X15" s="47" t="s">
        <v>90</v>
      </c>
      <c r="Y15" s="47" t="s">
        <v>90</v>
      </c>
    </row>
    <row r="16" spans="1:25" ht="12" customHeight="1" x14ac:dyDescent="0.3">
      <c r="A16" s="47">
        <v>16</v>
      </c>
      <c r="B16" s="47">
        <v>30.4</v>
      </c>
      <c r="C16" s="47">
        <v>16.8</v>
      </c>
      <c r="D16" s="47" t="s">
        <v>90</v>
      </c>
      <c r="E16" s="47" t="s">
        <v>90</v>
      </c>
      <c r="F16" s="47" t="s">
        <v>90</v>
      </c>
      <c r="G16" s="47" t="s">
        <v>90</v>
      </c>
      <c r="H16" s="47" t="s">
        <v>90</v>
      </c>
      <c r="I16" s="47" t="s">
        <v>90</v>
      </c>
      <c r="J16" s="47" t="s">
        <v>90</v>
      </c>
      <c r="K16" s="47" t="s">
        <v>90</v>
      </c>
      <c r="L16" s="47" t="s">
        <v>90</v>
      </c>
      <c r="M16" s="47" t="s">
        <v>90</v>
      </c>
      <c r="N16" s="47">
        <v>0</v>
      </c>
      <c r="O16" s="47">
        <v>0</v>
      </c>
      <c r="P16" s="47" t="s">
        <v>90</v>
      </c>
      <c r="Q16" s="47" t="s">
        <v>90</v>
      </c>
      <c r="R16" s="47" t="s">
        <v>90</v>
      </c>
      <c r="S16" s="47" t="s">
        <v>90</v>
      </c>
      <c r="T16" s="47" t="s">
        <v>90</v>
      </c>
      <c r="U16" s="47" t="s">
        <v>90</v>
      </c>
      <c r="V16" s="47" t="s">
        <v>90</v>
      </c>
      <c r="W16" s="47" t="s">
        <v>90</v>
      </c>
      <c r="X16" s="47" t="s">
        <v>90</v>
      </c>
      <c r="Y16" s="47" t="s">
        <v>90</v>
      </c>
    </row>
    <row r="17" spans="1:25" ht="12" customHeight="1" x14ac:dyDescent="0.3">
      <c r="A17" s="47">
        <v>17</v>
      </c>
      <c r="B17" s="47">
        <v>30.5</v>
      </c>
      <c r="C17" s="47">
        <v>15.8</v>
      </c>
      <c r="D17" s="47" t="s">
        <v>90</v>
      </c>
      <c r="E17" s="47" t="s">
        <v>90</v>
      </c>
      <c r="F17" s="47" t="s">
        <v>90</v>
      </c>
      <c r="G17" s="47" t="s">
        <v>90</v>
      </c>
      <c r="H17" s="47" t="s">
        <v>90</v>
      </c>
      <c r="I17" s="47" t="s">
        <v>90</v>
      </c>
      <c r="J17" s="47" t="s">
        <v>90</v>
      </c>
      <c r="K17" s="47" t="s">
        <v>90</v>
      </c>
      <c r="L17" s="47" t="s">
        <v>90</v>
      </c>
      <c r="M17" s="47" t="s">
        <v>90</v>
      </c>
      <c r="N17" s="47">
        <v>0</v>
      </c>
      <c r="O17" s="47">
        <v>0</v>
      </c>
      <c r="P17" s="47" t="s">
        <v>90</v>
      </c>
      <c r="Q17" s="47" t="s">
        <v>90</v>
      </c>
      <c r="R17" s="47" t="s">
        <v>90</v>
      </c>
      <c r="S17" s="47" t="s">
        <v>90</v>
      </c>
      <c r="T17" s="47" t="s">
        <v>90</v>
      </c>
      <c r="U17" s="47" t="s">
        <v>90</v>
      </c>
      <c r="V17" s="47" t="s">
        <v>90</v>
      </c>
      <c r="W17" s="47" t="s">
        <v>90</v>
      </c>
      <c r="X17" s="47" t="s">
        <v>90</v>
      </c>
      <c r="Y17" s="47" t="s">
        <v>90</v>
      </c>
    </row>
    <row r="18" spans="1:25" ht="12" customHeight="1" x14ac:dyDescent="0.3">
      <c r="A18" s="47">
        <v>18</v>
      </c>
      <c r="B18" s="47">
        <v>33.200000000000003</v>
      </c>
      <c r="C18" s="47">
        <v>16</v>
      </c>
      <c r="D18" s="47" t="s">
        <v>90</v>
      </c>
      <c r="E18" s="47" t="s">
        <v>90</v>
      </c>
      <c r="F18" s="47" t="s">
        <v>90</v>
      </c>
      <c r="G18" s="47" t="s">
        <v>90</v>
      </c>
      <c r="H18" s="47" t="s">
        <v>90</v>
      </c>
      <c r="I18" s="47" t="s">
        <v>90</v>
      </c>
      <c r="J18" s="47" t="s">
        <v>90</v>
      </c>
      <c r="K18" s="47" t="s">
        <v>90</v>
      </c>
      <c r="L18" s="47" t="s">
        <v>90</v>
      </c>
      <c r="M18" s="47" t="s">
        <v>90</v>
      </c>
      <c r="N18" s="47">
        <v>0</v>
      </c>
      <c r="O18" s="47">
        <v>0</v>
      </c>
      <c r="P18" s="47" t="s">
        <v>90</v>
      </c>
      <c r="Q18" s="47" t="s">
        <v>90</v>
      </c>
      <c r="R18" s="47" t="s">
        <v>90</v>
      </c>
      <c r="S18" s="47" t="s">
        <v>90</v>
      </c>
      <c r="T18" s="47" t="s">
        <v>90</v>
      </c>
      <c r="U18" s="47" t="s">
        <v>90</v>
      </c>
      <c r="V18" s="47" t="s">
        <v>90</v>
      </c>
      <c r="W18" s="47" t="s">
        <v>90</v>
      </c>
      <c r="X18" s="47" t="s">
        <v>90</v>
      </c>
      <c r="Y18" s="47" t="s">
        <v>90</v>
      </c>
    </row>
    <row r="19" spans="1:25" ht="12" customHeight="1" x14ac:dyDescent="0.3">
      <c r="A19" s="47">
        <v>19</v>
      </c>
      <c r="B19" s="47">
        <v>32.6</v>
      </c>
      <c r="C19" s="47">
        <v>17.5</v>
      </c>
      <c r="D19" s="47" t="s">
        <v>90</v>
      </c>
      <c r="E19" s="47" t="s">
        <v>90</v>
      </c>
      <c r="F19" s="47" t="s">
        <v>90</v>
      </c>
      <c r="G19" s="47" t="s">
        <v>90</v>
      </c>
      <c r="H19" s="47" t="s">
        <v>90</v>
      </c>
      <c r="I19" s="47" t="s">
        <v>90</v>
      </c>
      <c r="J19" s="47" t="s">
        <v>90</v>
      </c>
      <c r="K19" s="47" t="s">
        <v>90</v>
      </c>
      <c r="L19" s="47" t="s">
        <v>90</v>
      </c>
      <c r="M19" s="47" t="s">
        <v>90</v>
      </c>
      <c r="N19" s="47">
        <v>0</v>
      </c>
      <c r="O19" s="47">
        <v>0</v>
      </c>
      <c r="P19" s="47" t="s">
        <v>90</v>
      </c>
      <c r="Q19" s="47" t="s">
        <v>90</v>
      </c>
      <c r="R19" s="47" t="s">
        <v>90</v>
      </c>
      <c r="S19" s="47" t="s">
        <v>90</v>
      </c>
      <c r="T19" s="47" t="s">
        <v>90</v>
      </c>
      <c r="U19" s="47" t="s">
        <v>90</v>
      </c>
      <c r="V19" s="47" t="s">
        <v>90</v>
      </c>
      <c r="W19" s="47" t="s">
        <v>90</v>
      </c>
      <c r="X19" s="47" t="s">
        <v>90</v>
      </c>
      <c r="Y19" s="47" t="s">
        <v>90</v>
      </c>
    </row>
    <row r="20" spans="1:25" ht="12" customHeight="1" x14ac:dyDescent="0.3">
      <c r="A20" s="47">
        <v>20</v>
      </c>
      <c r="B20" s="47">
        <v>34.299999999999997</v>
      </c>
      <c r="C20" s="47">
        <v>21.1</v>
      </c>
      <c r="D20" s="47" t="s">
        <v>90</v>
      </c>
      <c r="E20" s="47" t="s">
        <v>90</v>
      </c>
      <c r="F20" s="47" t="s">
        <v>90</v>
      </c>
      <c r="G20" s="47" t="s">
        <v>90</v>
      </c>
      <c r="H20" s="47" t="s">
        <v>90</v>
      </c>
      <c r="I20" s="47" t="s">
        <v>90</v>
      </c>
      <c r="J20" s="47" t="s">
        <v>90</v>
      </c>
      <c r="K20" s="47" t="s">
        <v>90</v>
      </c>
      <c r="L20" s="47" t="s">
        <v>90</v>
      </c>
      <c r="M20" s="47" t="s">
        <v>90</v>
      </c>
      <c r="N20" s="47">
        <v>0</v>
      </c>
      <c r="O20" s="47">
        <v>0</v>
      </c>
      <c r="P20" s="47" t="s">
        <v>90</v>
      </c>
      <c r="Q20" s="47" t="s">
        <v>90</v>
      </c>
      <c r="R20" s="47" t="s">
        <v>90</v>
      </c>
      <c r="S20" s="47" t="s">
        <v>90</v>
      </c>
      <c r="T20" s="47" t="s">
        <v>90</v>
      </c>
      <c r="U20" s="47" t="s">
        <v>90</v>
      </c>
      <c r="V20" s="47" t="s">
        <v>90</v>
      </c>
      <c r="W20" s="47" t="s">
        <v>90</v>
      </c>
      <c r="X20" s="47" t="s">
        <v>90</v>
      </c>
      <c r="Y20" s="47" t="s">
        <v>90</v>
      </c>
    </row>
    <row r="21" spans="1:25" ht="12" customHeight="1" x14ac:dyDescent="0.3">
      <c r="A21" s="47">
        <v>21</v>
      </c>
      <c r="B21" s="47">
        <v>35.299999999999997</v>
      </c>
      <c r="C21" s="47">
        <v>19.5</v>
      </c>
      <c r="D21" s="47" t="s">
        <v>90</v>
      </c>
      <c r="E21" s="47" t="s">
        <v>90</v>
      </c>
      <c r="F21" s="47" t="s">
        <v>90</v>
      </c>
      <c r="G21" s="47" t="s">
        <v>90</v>
      </c>
      <c r="H21" s="47" t="s">
        <v>90</v>
      </c>
      <c r="I21" s="47" t="s">
        <v>90</v>
      </c>
      <c r="J21" s="47" t="s">
        <v>90</v>
      </c>
      <c r="K21" s="47" t="s">
        <v>90</v>
      </c>
      <c r="L21" s="47" t="s">
        <v>90</v>
      </c>
      <c r="M21" s="47" t="s">
        <v>90</v>
      </c>
      <c r="N21" s="47">
        <v>0</v>
      </c>
      <c r="O21" s="47">
        <v>0</v>
      </c>
      <c r="P21" s="47" t="s">
        <v>90</v>
      </c>
      <c r="Q21" s="47" t="s">
        <v>90</v>
      </c>
      <c r="R21" s="47" t="s">
        <v>90</v>
      </c>
      <c r="S21" s="47" t="s">
        <v>90</v>
      </c>
      <c r="T21" s="47" t="s">
        <v>90</v>
      </c>
      <c r="U21" s="47" t="s">
        <v>90</v>
      </c>
      <c r="V21" s="47" t="s">
        <v>90</v>
      </c>
      <c r="W21" s="47" t="s">
        <v>90</v>
      </c>
      <c r="X21" s="47" t="s">
        <v>90</v>
      </c>
      <c r="Y21" s="47" t="s">
        <v>90</v>
      </c>
    </row>
    <row r="22" spans="1:25" ht="12" customHeight="1" x14ac:dyDescent="0.3">
      <c r="A22" s="47">
        <v>22</v>
      </c>
      <c r="B22" s="47">
        <v>33.5</v>
      </c>
      <c r="C22" s="47" t="s">
        <v>90</v>
      </c>
      <c r="D22" s="47" t="s">
        <v>90</v>
      </c>
      <c r="E22" s="47" t="s">
        <v>90</v>
      </c>
      <c r="F22" s="47" t="s">
        <v>90</v>
      </c>
      <c r="G22" s="47" t="s">
        <v>90</v>
      </c>
      <c r="H22" s="47" t="s">
        <v>90</v>
      </c>
      <c r="I22" s="47" t="s">
        <v>90</v>
      </c>
      <c r="J22" s="47" t="s">
        <v>90</v>
      </c>
      <c r="K22" s="47" t="s">
        <v>90</v>
      </c>
      <c r="L22" s="47" t="s">
        <v>90</v>
      </c>
      <c r="M22" s="47" t="s">
        <v>90</v>
      </c>
      <c r="N22" s="47">
        <v>0</v>
      </c>
      <c r="O22" s="47" t="s">
        <v>90</v>
      </c>
      <c r="P22" s="47" t="s">
        <v>90</v>
      </c>
      <c r="Q22" s="47" t="s">
        <v>90</v>
      </c>
      <c r="R22" s="47" t="s">
        <v>90</v>
      </c>
      <c r="S22" s="47" t="s">
        <v>90</v>
      </c>
      <c r="T22" s="47" t="s">
        <v>90</v>
      </c>
      <c r="U22" s="47" t="s">
        <v>90</v>
      </c>
      <c r="V22" s="47" t="s">
        <v>90</v>
      </c>
      <c r="W22" s="47" t="s">
        <v>90</v>
      </c>
      <c r="X22" s="47" t="s">
        <v>90</v>
      </c>
      <c r="Y22" s="47" t="s">
        <v>90</v>
      </c>
    </row>
    <row r="23" spans="1:25" ht="12" customHeight="1" x14ac:dyDescent="0.3">
      <c r="A23" s="47">
        <v>23</v>
      </c>
      <c r="B23" s="47">
        <v>36.200000000000003</v>
      </c>
      <c r="C23" s="47" t="s">
        <v>90</v>
      </c>
      <c r="D23" s="47" t="s">
        <v>90</v>
      </c>
      <c r="E23" s="47" t="s">
        <v>90</v>
      </c>
      <c r="F23" s="47" t="s">
        <v>90</v>
      </c>
      <c r="G23" s="47" t="s">
        <v>90</v>
      </c>
      <c r="H23" s="47" t="s">
        <v>90</v>
      </c>
      <c r="I23" s="47" t="s">
        <v>90</v>
      </c>
      <c r="J23" s="47" t="s">
        <v>90</v>
      </c>
      <c r="K23" s="47" t="s">
        <v>90</v>
      </c>
      <c r="L23" s="47" t="s">
        <v>90</v>
      </c>
      <c r="M23" s="47" t="s">
        <v>90</v>
      </c>
      <c r="N23" s="47">
        <v>0</v>
      </c>
      <c r="O23" s="47" t="s">
        <v>90</v>
      </c>
      <c r="P23" s="47" t="s">
        <v>90</v>
      </c>
      <c r="Q23" s="47" t="s">
        <v>90</v>
      </c>
      <c r="R23" s="47" t="s">
        <v>90</v>
      </c>
      <c r="S23" s="47" t="s">
        <v>90</v>
      </c>
      <c r="T23" s="47" t="s">
        <v>90</v>
      </c>
      <c r="U23" s="47" t="s">
        <v>90</v>
      </c>
      <c r="V23" s="47" t="s">
        <v>90</v>
      </c>
      <c r="W23" s="47" t="s">
        <v>90</v>
      </c>
      <c r="X23" s="47" t="s">
        <v>90</v>
      </c>
      <c r="Y23" s="47" t="s">
        <v>90</v>
      </c>
    </row>
    <row r="24" spans="1:25" ht="12" customHeight="1" x14ac:dyDescent="0.3">
      <c r="A24" s="47">
        <v>24</v>
      </c>
      <c r="B24" s="47">
        <v>36.200000000000003</v>
      </c>
      <c r="C24" s="47" t="s">
        <v>90</v>
      </c>
      <c r="D24" s="47" t="s">
        <v>90</v>
      </c>
      <c r="E24" s="47" t="s">
        <v>90</v>
      </c>
      <c r="F24" s="47" t="s">
        <v>90</v>
      </c>
      <c r="G24" s="47" t="s">
        <v>90</v>
      </c>
      <c r="H24" s="47" t="s">
        <v>90</v>
      </c>
      <c r="I24" s="47" t="s">
        <v>90</v>
      </c>
      <c r="J24" s="47" t="s">
        <v>90</v>
      </c>
      <c r="K24" s="47" t="s">
        <v>90</v>
      </c>
      <c r="L24" s="47" t="s">
        <v>90</v>
      </c>
      <c r="M24" s="47" t="s">
        <v>90</v>
      </c>
      <c r="N24" s="47">
        <v>0</v>
      </c>
      <c r="O24" s="47" t="s">
        <v>90</v>
      </c>
      <c r="P24" s="47" t="s">
        <v>90</v>
      </c>
      <c r="Q24" s="47" t="s">
        <v>90</v>
      </c>
      <c r="R24" s="47" t="s">
        <v>90</v>
      </c>
      <c r="S24" s="47" t="s">
        <v>90</v>
      </c>
      <c r="T24" s="47" t="s">
        <v>90</v>
      </c>
      <c r="U24" s="47" t="s">
        <v>90</v>
      </c>
      <c r="V24" s="47" t="s">
        <v>90</v>
      </c>
      <c r="W24" s="47" t="s">
        <v>90</v>
      </c>
      <c r="X24" s="47" t="s">
        <v>90</v>
      </c>
      <c r="Y24" s="47" t="s">
        <v>90</v>
      </c>
    </row>
    <row r="25" spans="1:25" ht="12" customHeight="1" x14ac:dyDescent="0.3">
      <c r="A25" s="47">
        <v>25</v>
      </c>
      <c r="B25" s="47">
        <v>25.4</v>
      </c>
      <c r="C25" s="47" t="s">
        <v>90</v>
      </c>
      <c r="D25" s="47" t="s">
        <v>90</v>
      </c>
      <c r="E25" s="47" t="s">
        <v>90</v>
      </c>
      <c r="F25" s="47" t="s">
        <v>90</v>
      </c>
      <c r="G25" s="47" t="s">
        <v>90</v>
      </c>
      <c r="H25" s="47" t="s">
        <v>90</v>
      </c>
      <c r="I25" s="47" t="s">
        <v>90</v>
      </c>
      <c r="J25" s="47" t="s">
        <v>90</v>
      </c>
      <c r="K25" s="47" t="s">
        <v>90</v>
      </c>
      <c r="L25" s="47" t="s">
        <v>90</v>
      </c>
      <c r="M25" s="47" t="s">
        <v>90</v>
      </c>
      <c r="N25" s="47">
        <v>0</v>
      </c>
      <c r="O25" s="47" t="s">
        <v>90</v>
      </c>
      <c r="P25" s="47" t="s">
        <v>90</v>
      </c>
      <c r="Q25" s="47" t="s">
        <v>90</v>
      </c>
      <c r="R25" s="47" t="s">
        <v>90</v>
      </c>
      <c r="S25" s="47" t="s">
        <v>90</v>
      </c>
      <c r="T25" s="47" t="s">
        <v>90</v>
      </c>
      <c r="U25" s="47" t="s">
        <v>90</v>
      </c>
      <c r="V25" s="47" t="s">
        <v>90</v>
      </c>
      <c r="W25" s="47" t="s">
        <v>90</v>
      </c>
      <c r="X25" s="47" t="s">
        <v>90</v>
      </c>
      <c r="Y25" s="47" t="s">
        <v>90</v>
      </c>
    </row>
    <row r="26" spans="1:25" ht="12" customHeight="1" x14ac:dyDescent="0.3">
      <c r="A26" s="47">
        <v>26</v>
      </c>
      <c r="B26" s="47">
        <v>25.9</v>
      </c>
      <c r="C26" s="47" t="s">
        <v>90</v>
      </c>
      <c r="D26" s="47" t="s">
        <v>90</v>
      </c>
      <c r="E26" s="47" t="s">
        <v>90</v>
      </c>
      <c r="F26" s="47" t="s">
        <v>90</v>
      </c>
      <c r="G26" s="47" t="s">
        <v>90</v>
      </c>
      <c r="H26" s="47" t="s">
        <v>90</v>
      </c>
      <c r="I26" s="47" t="s">
        <v>90</v>
      </c>
      <c r="J26" s="47" t="s">
        <v>90</v>
      </c>
      <c r="K26" s="47" t="s">
        <v>90</v>
      </c>
      <c r="L26" s="47" t="s">
        <v>90</v>
      </c>
      <c r="M26" s="47" t="s">
        <v>90</v>
      </c>
      <c r="N26" s="47">
        <v>0</v>
      </c>
      <c r="O26" s="47" t="s">
        <v>90</v>
      </c>
      <c r="P26" s="47" t="s">
        <v>90</v>
      </c>
      <c r="Q26" s="47" t="s">
        <v>90</v>
      </c>
      <c r="R26" s="47" t="s">
        <v>90</v>
      </c>
      <c r="S26" s="47" t="s">
        <v>90</v>
      </c>
      <c r="T26" s="47" t="s">
        <v>90</v>
      </c>
      <c r="U26" s="47" t="s">
        <v>90</v>
      </c>
      <c r="V26" s="47" t="s">
        <v>90</v>
      </c>
      <c r="W26" s="47" t="s">
        <v>90</v>
      </c>
      <c r="X26" s="47" t="s">
        <v>90</v>
      </c>
      <c r="Y26" s="47" t="s">
        <v>90</v>
      </c>
    </row>
    <row r="27" spans="1:25" ht="12" customHeight="1" x14ac:dyDescent="0.3">
      <c r="A27" s="47">
        <v>27</v>
      </c>
      <c r="B27" s="47">
        <v>27.7</v>
      </c>
      <c r="C27" s="47" t="s">
        <v>90</v>
      </c>
      <c r="D27" s="47" t="s">
        <v>90</v>
      </c>
      <c r="E27" s="47" t="s">
        <v>90</v>
      </c>
      <c r="F27" s="47" t="s">
        <v>90</v>
      </c>
      <c r="G27" s="47" t="s">
        <v>90</v>
      </c>
      <c r="H27" s="47" t="s">
        <v>90</v>
      </c>
      <c r="I27" s="47" t="s">
        <v>90</v>
      </c>
      <c r="J27" s="47" t="s">
        <v>90</v>
      </c>
      <c r="K27" s="47" t="s">
        <v>90</v>
      </c>
      <c r="L27" s="47" t="s">
        <v>90</v>
      </c>
      <c r="M27" s="47" t="s">
        <v>90</v>
      </c>
      <c r="N27" s="47">
        <v>0</v>
      </c>
      <c r="O27" s="47" t="s">
        <v>90</v>
      </c>
      <c r="P27" s="47" t="s">
        <v>90</v>
      </c>
      <c r="Q27" s="47" t="s">
        <v>90</v>
      </c>
      <c r="R27" s="47" t="s">
        <v>90</v>
      </c>
      <c r="S27" s="47" t="s">
        <v>90</v>
      </c>
      <c r="T27" s="47" t="s">
        <v>90</v>
      </c>
      <c r="U27" s="47" t="s">
        <v>90</v>
      </c>
      <c r="V27" s="47" t="s">
        <v>90</v>
      </c>
      <c r="W27" s="47" t="s">
        <v>90</v>
      </c>
      <c r="X27" s="47" t="s">
        <v>90</v>
      </c>
      <c r="Y27" s="47" t="s">
        <v>90</v>
      </c>
    </row>
    <row r="28" spans="1:25" ht="12" customHeight="1" x14ac:dyDescent="0.3">
      <c r="A28" s="47">
        <v>28</v>
      </c>
      <c r="B28" s="47">
        <v>30</v>
      </c>
      <c r="C28" s="47" t="s">
        <v>90</v>
      </c>
      <c r="D28" s="47" t="s">
        <v>90</v>
      </c>
      <c r="E28" s="47" t="s">
        <v>90</v>
      </c>
      <c r="F28" s="47" t="s">
        <v>90</v>
      </c>
      <c r="G28" s="47" t="s">
        <v>90</v>
      </c>
      <c r="H28" s="47" t="s">
        <v>90</v>
      </c>
      <c r="I28" s="47" t="s">
        <v>90</v>
      </c>
      <c r="J28" s="47" t="s">
        <v>90</v>
      </c>
      <c r="K28" s="47" t="s">
        <v>90</v>
      </c>
      <c r="L28" s="47" t="s">
        <v>90</v>
      </c>
      <c r="M28" s="47" t="s">
        <v>90</v>
      </c>
      <c r="N28" s="47">
        <v>0</v>
      </c>
      <c r="O28" s="47" t="s">
        <v>90</v>
      </c>
      <c r="P28" s="47" t="s">
        <v>90</v>
      </c>
      <c r="Q28" s="47" t="s">
        <v>90</v>
      </c>
      <c r="R28" s="47" t="s">
        <v>90</v>
      </c>
      <c r="S28" s="47" t="s">
        <v>90</v>
      </c>
      <c r="T28" s="47" t="s">
        <v>90</v>
      </c>
      <c r="U28" s="47" t="s">
        <v>90</v>
      </c>
      <c r="V28" s="47" t="s">
        <v>90</v>
      </c>
      <c r="W28" s="47" t="s">
        <v>90</v>
      </c>
      <c r="X28" s="47" t="s">
        <v>90</v>
      </c>
      <c r="Y28" s="47" t="s">
        <v>90</v>
      </c>
    </row>
    <row r="29" spans="1:25" ht="12" customHeight="1" x14ac:dyDescent="0.3">
      <c r="A29" s="47">
        <v>29</v>
      </c>
      <c r="B29" s="47">
        <v>32.200000000000003</v>
      </c>
      <c r="C29" s="47" t="s">
        <v>90</v>
      </c>
      <c r="D29" s="47" t="s">
        <v>90</v>
      </c>
      <c r="E29" s="47" t="s">
        <v>90</v>
      </c>
      <c r="F29" s="47" t="s">
        <v>90</v>
      </c>
      <c r="G29" s="47" t="s">
        <v>90</v>
      </c>
      <c r="H29" s="47" t="s">
        <v>90</v>
      </c>
      <c r="I29" s="47" t="s">
        <v>90</v>
      </c>
      <c r="J29" s="47" t="s">
        <v>90</v>
      </c>
      <c r="K29" s="47" t="s">
        <v>90</v>
      </c>
      <c r="L29" s="47" t="s">
        <v>90</v>
      </c>
      <c r="M29" s="47">
        <v>0</v>
      </c>
      <c r="N29" s="47" t="s">
        <v>90</v>
      </c>
      <c r="O29" s="47" t="s">
        <v>90</v>
      </c>
      <c r="P29" s="47" t="s">
        <v>90</v>
      </c>
      <c r="Q29" s="47" t="s">
        <v>90</v>
      </c>
      <c r="R29" s="47" t="s">
        <v>90</v>
      </c>
      <c r="S29" s="47" t="s">
        <v>90</v>
      </c>
      <c r="T29" s="47" t="s">
        <v>90</v>
      </c>
      <c r="U29" s="47" t="s">
        <v>90</v>
      </c>
      <c r="V29" s="47" t="s">
        <v>90</v>
      </c>
      <c r="W29" s="47" t="s">
        <v>90</v>
      </c>
    </row>
    <row r="30" spans="1:25" ht="12" customHeight="1" x14ac:dyDescent="0.3">
      <c r="A30" s="47">
        <v>30</v>
      </c>
      <c r="B30" s="47">
        <v>34.6</v>
      </c>
      <c r="C30" s="47" t="s">
        <v>90</v>
      </c>
      <c r="D30" s="47" t="s">
        <v>90</v>
      </c>
      <c r="E30" s="47" t="s">
        <v>90</v>
      </c>
      <c r="F30" s="47" t="s">
        <v>90</v>
      </c>
      <c r="G30" s="47" t="s">
        <v>90</v>
      </c>
      <c r="H30" s="47" t="s">
        <v>90</v>
      </c>
      <c r="I30" s="47" t="s">
        <v>90</v>
      </c>
      <c r="J30" s="47" t="s">
        <v>90</v>
      </c>
      <c r="K30" s="47" t="s">
        <v>90</v>
      </c>
      <c r="L30" s="47" t="s">
        <v>90</v>
      </c>
      <c r="M30" s="47">
        <v>0</v>
      </c>
      <c r="N30" s="47" t="s">
        <v>90</v>
      </c>
      <c r="O30" s="47" t="s">
        <v>90</v>
      </c>
      <c r="P30" s="47" t="s">
        <v>90</v>
      </c>
      <c r="Q30" s="47" t="s">
        <v>90</v>
      </c>
      <c r="R30" s="47" t="s">
        <v>90</v>
      </c>
      <c r="S30" s="47" t="s">
        <v>90</v>
      </c>
      <c r="T30" s="47" t="s">
        <v>90</v>
      </c>
      <c r="U30" s="47" t="s">
        <v>90</v>
      </c>
      <c r="V30" s="47" t="s">
        <v>90</v>
      </c>
      <c r="W30" s="47" t="s">
        <v>90</v>
      </c>
    </row>
    <row r="31" spans="1:25" ht="12" customHeight="1" x14ac:dyDescent="0.3">
      <c r="A31" s="47">
        <v>31</v>
      </c>
      <c r="B31" s="47">
        <v>31.9</v>
      </c>
      <c r="C31" s="47" t="s">
        <v>90</v>
      </c>
      <c r="D31" s="47" t="s">
        <v>90</v>
      </c>
      <c r="E31" s="47" t="s">
        <v>90</v>
      </c>
      <c r="F31" s="47" t="s">
        <v>90</v>
      </c>
      <c r="G31" s="47" t="s">
        <v>90</v>
      </c>
      <c r="H31" s="47" t="s">
        <v>90</v>
      </c>
      <c r="I31" s="47">
        <v>0</v>
      </c>
      <c r="J31" s="47" t="s">
        <v>90</v>
      </c>
      <c r="K31" s="47" t="s">
        <v>90</v>
      </c>
      <c r="L31" s="47" t="s">
        <v>90</v>
      </c>
      <c r="M31" s="47" t="s">
        <v>90</v>
      </c>
      <c r="N31" s="47" t="s">
        <v>90</v>
      </c>
      <c r="O31" s="47" t="s">
        <v>90</v>
      </c>
    </row>
    <row r="32" spans="1:25" ht="12" customHeight="1" x14ac:dyDescent="0.25"/>
    <row r="33" spans="2:6" ht="12" customHeight="1" x14ac:dyDescent="0.25"/>
    <row r="34" spans="2:6" ht="12" customHeight="1" x14ac:dyDescent="0.25"/>
    <row r="35" spans="2:6" ht="12" customHeight="1" x14ac:dyDescent="0.3">
      <c r="B35" s="47">
        <f>SUM(B7:B31)</f>
        <v>708.80000000000007</v>
      </c>
      <c r="C35" s="47">
        <f>SUM(C1:C21)</f>
        <v>387.90000000000003</v>
      </c>
      <c r="E35" s="47">
        <f>B35+C35</f>
        <v>1096.7</v>
      </c>
      <c r="F35" s="47">
        <v>19</v>
      </c>
    </row>
    <row r="36" spans="2:6" ht="12" customHeight="1" x14ac:dyDescent="0.3">
      <c r="B36" s="47">
        <f>SUM(B1:B6)</f>
        <v>98.699999999999989</v>
      </c>
      <c r="F36" s="47">
        <f>E35+F35</f>
        <v>1115.7</v>
      </c>
    </row>
    <row r="37" spans="2:6" ht="12" customHeight="1" x14ac:dyDescent="0.3">
      <c r="B37" s="47">
        <v>95.9</v>
      </c>
    </row>
    <row r="38" spans="2:6" ht="12" customHeight="1" x14ac:dyDescent="0.3">
      <c r="B38" s="47">
        <f>B36+B37</f>
        <v>194.6</v>
      </c>
    </row>
    <row r="39" spans="2:6" ht="12" customHeight="1" x14ac:dyDescent="0.25"/>
    <row r="40" spans="2:6" ht="12" customHeight="1" x14ac:dyDescent="0.25"/>
    <row r="41" spans="2:6" ht="12" customHeight="1" x14ac:dyDescent="0.25"/>
    <row r="42" spans="2:6" ht="12" customHeight="1" x14ac:dyDescent="0.25"/>
    <row r="43" spans="2:6" ht="12" customHeight="1" x14ac:dyDescent="0.25"/>
    <row r="44" spans="2:6" ht="12" customHeight="1" x14ac:dyDescent="0.25"/>
    <row r="45" spans="2:6" ht="12" customHeight="1" x14ac:dyDescent="0.25"/>
    <row r="46" spans="2:6" ht="12" customHeight="1" x14ac:dyDescent="0.25"/>
    <row r="47" spans="2:6" ht="12" customHeight="1" x14ac:dyDescent="0.25"/>
    <row r="48" spans="2:6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  <row r="535" ht="12" customHeight="1" x14ac:dyDescent="0.25"/>
    <row r="536" ht="12" customHeight="1" x14ac:dyDescent="0.25"/>
    <row r="537" ht="12" customHeight="1" x14ac:dyDescent="0.25"/>
    <row r="538" ht="12" customHeight="1" x14ac:dyDescent="0.25"/>
    <row r="539" ht="12" customHeight="1" x14ac:dyDescent="0.25"/>
    <row r="540" ht="12" customHeight="1" x14ac:dyDescent="0.25"/>
    <row r="541" ht="12" customHeight="1" x14ac:dyDescent="0.25"/>
    <row r="542" ht="12" customHeight="1" x14ac:dyDescent="0.25"/>
    <row r="543" ht="12" customHeight="1" x14ac:dyDescent="0.25"/>
    <row r="544" ht="12" customHeight="1" x14ac:dyDescent="0.25"/>
    <row r="545" ht="12" customHeight="1" x14ac:dyDescent="0.25"/>
    <row r="546" ht="12" customHeight="1" x14ac:dyDescent="0.25"/>
    <row r="547" ht="12" customHeight="1" x14ac:dyDescent="0.25"/>
    <row r="548" ht="12" customHeight="1" x14ac:dyDescent="0.25"/>
    <row r="549" ht="12" customHeight="1" x14ac:dyDescent="0.25"/>
    <row r="550" ht="12" customHeight="1" x14ac:dyDescent="0.25"/>
    <row r="551" ht="12" customHeight="1" x14ac:dyDescent="0.25"/>
    <row r="552" ht="12" customHeight="1" x14ac:dyDescent="0.25"/>
    <row r="553" ht="12" customHeight="1" x14ac:dyDescent="0.25"/>
    <row r="554" ht="12" customHeight="1" x14ac:dyDescent="0.25"/>
    <row r="555" ht="12" customHeight="1" x14ac:dyDescent="0.25"/>
    <row r="556" ht="12" customHeight="1" x14ac:dyDescent="0.25"/>
    <row r="557" ht="12" customHeight="1" x14ac:dyDescent="0.25"/>
    <row r="558" ht="12" customHeight="1" x14ac:dyDescent="0.25"/>
    <row r="559" ht="12" customHeight="1" x14ac:dyDescent="0.25"/>
    <row r="560" ht="12" customHeight="1" x14ac:dyDescent="0.25"/>
    <row r="561" ht="12" customHeight="1" x14ac:dyDescent="0.25"/>
    <row r="562" ht="12" customHeight="1" x14ac:dyDescent="0.25"/>
    <row r="563" ht="12" customHeight="1" x14ac:dyDescent="0.25"/>
    <row r="564" ht="12" customHeight="1" x14ac:dyDescent="0.25"/>
    <row r="565" ht="12" customHeight="1" x14ac:dyDescent="0.25"/>
    <row r="566" ht="12" customHeight="1" x14ac:dyDescent="0.25"/>
    <row r="567" ht="12" customHeight="1" x14ac:dyDescent="0.25"/>
    <row r="568" ht="12" customHeight="1" x14ac:dyDescent="0.25"/>
    <row r="569" ht="12" customHeight="1" x14ac:dyDescent="0.25"/>
    <row r="570" ht="12" customHeight="1" x14ac:dyDescent="0.25"/>
    <row r="571" ht="12" customHeight="1" x14ac:dyDescent="0.25"/>
    <row r="572" ht="12" customHeight="1" x14ac:dyDescent="0.25"/>
    <row r="573" ht="12" customHeight="1" x14ac:dyDescent="0.25"/>
    <row r="574" ht="12" customHeight="1" x14ac:dyDescent="0.25"/>
    <row r="575" ht="12" customHeight="1" x14ac:dyDescent="0.25"/>
    <row r="576" ht="12" customHeight="1" x14ac:dyDescent="0.25"/>
    <row r="577" ht="12" customHeight="1" x14ac:dyDescent="0.25"/>
    <row r="578" ht="12" customHeight="1" x14ac:dyDescent="0.25"/>
    <row r="579" ht="12" customHeight="1" x14ac:dyDescent="0.25"/>
    <row r="580" ht="12" customHeight="1" x14ac:dyDescent="0.25"/>
    <row r="581" ht="12" customHeight="1" x14ac:dyDescent="0.25"/>
    <row r="582" ht="12" customHeight="1" x14ac:dyDescent="0.25"/>
    <row r="583" ht="12" customHeight="1" x14ac:dyDescent="0.25"/>
    <row r="584" ht="12" customHeight="1" x14ac:dyDescent="0.25"/>
    <row r="585" ht="12" customHeight="1" x14ac:dyDescent="0.25"/>
    <row r="586" ht="12" customHeight="1" x14ac:dyDescent="0.25"/>
    <row r="587" ht="12" customHeight="1" x14ac:dyDescent="0.25"/>
    <row r="588" ht="12" customHeight="1" x14ac:dyDescent="0.25"/>
    <row r="589" ht="12" customHeight="1" x14ac:dyDescent="0.25"/>
    <row r="590" ht="12" customHeight="1" x14ac:dyDescent="0.25"/>
    <row r="591" ht="12" customHeight="1" x14ac:dyDescent="0.25"/>
    <row r="592" ht="12" customHeight="1" x14ac:dyDescent="0.25"/>
    <row r="593" ht="12" customHeight="1" x14ac:dyDescent="0.25"/>
    <row r="594" ht="12" customHeight="1" x14ac:dyDescent="0.25"/>
    <row r="595" ht="12" customHeight="1" x14ac:dyDescent="0.25"/>
    <row r="596" ht="12" customHeight="1" x14ac:dyDescent="0.25"/>
    <row r="597" ht="12" customHeight="1" x14ac:dyDescent="0.25"/>
    <row r="598" ht="12" customHeight="1" x14ac:dyDescent="0.25"/>
    <row r="599" ht="12" customHeight="1" x14ac:dyDescent="0.25"/>
    <row r="600" ht="12" customHeight="1" x14ac:dyDescent="0.25"/>
    <row r="601" ht="12" customHeight="1" x14ac:dyDescent="0.25"/>
    <row r="602" ht="12" customHeight="1" x14ac:dyDescent="0.25"/>
    <row r="603" ht="12" customHeight="1" x14ac:dyDescent="0.25"/>
    <row r="604" ht="12" customHeight="1" x14ac:dyDescent="0.25"/>
    <row r="605" ht="12" customHeight="1" x14ac:dyDescent="0.25"/>
    <row r="606" ht="12" customHeight="1" x14ac:dyDescent="0.25"/>
    <row r="607" ht="12" customHeight="1" x14ac:dyDescent="0.25"/>
    <row r="608" ht="12" customHeight="1" x14ac:dyDescent="0.25"/>
    <row r="609" ht="12" customHeight="1" x14ac:dyDescent="0.25"/>
    <row r="610" ht="12" customHeight="1" x14ac:dyDescent="0.25"/>
    <row r="611" ht="12" customHeight="1" x14ac:dyDescent="0.25"/>
    <row r="612" ht="12" customHeight="1" x14ac:dyDescent="0.25"/>
    <row r="613" ht="12" customHeight="1" x14ac:dyDescent="0.25"/>
    <row r="614" ht="12" customHeight="1" x14ac:dyDescent="0.25"/>
    <row r="615" ht="12" customHeight="1" x14ac:dyDescent="0.25"/>
    <row r="616" ht="12" customHeight="1" x14ac:dyDescent="0.25"/>
    <row r="617" ht="12" customHeight="1" x14ac:dyDescent="0.25"/>
    <row r="618" ht="12" customHeight="1" x14ac:dyDescent="0.25"/>
    <row r="619" ht="12" customHeight="1" x14ac:dyDescent="0.25"/>
    <row r="620" ht="12" customHeight="1" x14ac:dyDescent="0.25"/>
    <row r="621" ht="12" customHeight="1" x14ac:dyDescent="0.25"/>
    <row r="622" ht="12" customHeight="1" x14ac:dyDescent="0.25"/>
    <row r="623" ht="12" customHeight="1" x14ac:dyDescent="0.25"/>
    <row r="624" ht="12" customHeight="1" x14ac:dyDescent="0.25"/>
    <row r="625" ht="12" customHeight="1" x14ac:dyDescent="0.25"/>
    <row r="626" ht="12" customHeight="1" x14ac:dyDescent="0.25"/>
    <row r="627" ht="12" customHeight="1" x14ac:dyDescent="0.25"/>
    <row r="628" ht="12" customHeight="1" x14ac:dyDescent="0.25"/>
    <row r="629" ht="12" customHeight="1" x14ac:dyDescent="0.25"/>
    <row r="630" ht="12" customHeight="1" x14ac:dyDescent="0.25"/>
    <row r="631" ht="12" customHeight="1" x14ac:dyDescent="0.25"/>
    <row r="632" ht="12" customHeight="1" x14ac:dyDescent="0.25"/>
    <row r="633" ht="12" customHeight="1" x14ac:dyDescent="0.25"/>
    <row r="634" ht="12" customHeight="1" x14ac:dyDescent="0.25"/>
    <row r="635" ht="12" customHeight="1" x14ac:dyDescent="0.25"/>
    <row r="636" ht="12" customHeight="1" x14ac:dyDescent="0.25"/>
    <row r="637" ht="12" customHeight="1" x14ac:dyDescent="0.25"/>
    <row r="638" ht="12" customHeight="1" x14ac:dyDescent="0.25"/>
    <row r="639" ht="12" customHeight="1" x14ac:dyDescent="0.25"/>
    <row r="640" ht="12" customHeight="1" x14ac:dyDescent="0.25"/>
    <row r="641" ht="12" customHeight="1" x14ac:dyDescent="0.25"/>
    <row r="642" ht="12" customHeight="1" x14ac:dyDescent="0.25"/>
    <row r="643" ht="12" customHeight="1" x14ac:dyDescent="0.25"/>
    <row r="644" ht="12" customHeight="1" x14ac:dyDescent="0.25"/>
    <row r="645" ht="12" customHeight="1" x14ac:dyDescent="0.25"/>
    <row r="646" ht="12" customHeight="1" x14ac:dyDescent="0.25"/>
    <row r="647" ht="12" customHeight="1" x14ac:dyDescent="0.25"/>
    <row r="648" ht="12" customHeight="1" x14ac:dyDescent="0.25"/>
    <row r="649" ht="12" customHeight="1" x14ac:dyDescent="0.25"/>
    <row r="650" ht="12" customHeight="1" x14ac:dyDescent="0.25"/>
    <row r="651" ht="12" customHeight="1" x14ac:dyDescent="0.25"/>
    <row r="652" ht="12" customHeight="1" x14ac:dyDescent="0.25"/>
    <row r="653" ht="12" customHeight="1" x14ac:dyDescent="0.25"/>
    <row r="654" ht="12" customHeight="1" x14ac:dyDescent="0.25"/>
    <row r="655" ht="12" customHeight="1" x14ac:dyDescent="0.25"/>
    <row r="656" ht="12" customHeight="1" x14ac:dyDescent="0.25"/>
    <row r="657" ht="12" customHeight="1" x14ac:dyDescent="0.25"/>
    <row r="658" ht="12" customHeight="1" x14ac:dyDescent="0.25"/>
    <row r="659" ht="12" customHeight="1" x14ac:dyDescent="0.25"/>
    <row r="660" ht="12" customHeight="1" x14ac:dyDescent="0.25"/>
    <row r="661" ht="12" customHeight="1" x14ac:dyDescent="0.25"/>
    <row r="662" ht="12" customHeight="1" x14ac:dyDescent="0.25"/>
    <row r="663" ht="12" customHeight="1" x14ac:dyDescent="0.25"/>
    <row r="664" ht="12" customHeight="1" x14ac:dyDescent="0.25"/>
    <row r="665" ht="12" customHeight="1" x14ac:dyDescent="0.25"/>
    <row r="666" ht="12" customHeight="1" x14ac:dyDescent="0.25"/>
    <row r="667" ht="12" customHeight="1" x14ac:dyDescent="0.25"/>
    <row r="668" ht="12" customHeight="1" x14ac:dyDescent="0.25"/>
    <row r="669" ht="12" customHeight="1" x14ac:dyDescent="0.25"/>
    <row r="670" ht="12" customHeight="1" x14ac:dyDescent="0.25"/>
    <row r="671" ht="12" customHeight="1" x14ac:dyDescent="0.25"/>
    <row r="672" ht="12" customHeight="1" x14ac:dyDescent="0.25"/>
    <row r="673" ht="12" customHeight="1" x14ac:dyDescent="0.25"/>
    <row r="674" ht="12" customHeight="1" x14ac:dyDescent="0.25"/>
    <row r="675" ht="12" customHeight="1" x14ac:dyDescent="0.25"/>
    <row r="676" ht="12" customHeight="1" x14ac:dyDescent="0.25"/>
    <row r="677" ht="12" customHeight="1" x14ac:dyDescent="0.25"/>
    <row r="678" ht="12" customHeight="1" x14ac:dyDescent="0.25"/>
    <row r="679" ht="12" customHeight="1" x14ac:dyDescent="0.25"/>
    <row r="680" ht="12" customHeight="1" x14ac:dyDescent="0.25"/>
    <row r="681" ht="12" customHeight="1" x14ac:dyDescent="0.25"/>
    <row r="682" ht="12" customHeight="1" x14ac:dyDescent="0.25"/>
    <row r="683" ht="12" customHeight="1" x14ac:dyDescent="0.25"/>
    <row r="684" ht="12" customHeight="1" x14ac:dyDescent="0.25"/>
    <row r="685" ht="12" customHeight="1" x14ac:dyDescent="0.25"/>
    <row r="686" ht="12" customHeight="1" x14ac:dyDescent="0.25"/>
    <row r="687" ht="12" customHeight="1" x14ac:dyDescent="0.25"/>
    <row r="688" ht="12" customHeight="1" x14ac:dyDescent="0.25"/>
    <row r="689" ht="12" customHeight="1" x14ac:dyDescent="0.25"/>
    <row r="690" ht="12" customHeight="1" x14ac:dyDescent="0.25"/>
    <row r="691" ht="12" customHeight="1" x14ac:dyDescent="0.25"/>
    <row r="692" ht="12" customHeight="1" x14ac:dyDescent="0.25"/>
    <row r="693" ht="12" customHeight="1" x14ac:dyDescent="0.25"/>
    <row r="694" ht="12" customHeight="1" x14ac:dyDescent="0.25"/>
    <row r="695" ht="12" customHeight="1" x14ac:dyDescent="0.25"/>
    <row r="696" ht="12" customHeight="1" x14ac:dyDescent="0.25"/>
    <row r="697" ht="12" customHeight="1" x14ac:dyDescent="0.25"/>
    <row r="698" ht="12" customHeight="1" x14ac:dyDescent="0.25"/>
    <row r="699" ht="12" customHeight="1" x14ac:dyDescent="0.25"/>
    <row r="700" ht="12" customHeight="1" x14ac:dyDescent="0.25"/>
    <row r="701" ht="12" customHeight="1" x14ac:dyDescent="0.25"/>
    <row r="702" ht="12" customHeight="1" x14ac:dyDescent="0.25"/>
    <row r="703" ht="12" customHeight="1" x14ac:dyDescent="0.25"/>
    <row r="704" ht="12" customHeight="1" x14ac:dyDescent="0.25"/>
    <row r="705" ht="12" customHeight="1" x14ac:dyDescent="0.25"/>
    <row r="706" ht="12" customHeight="1" x14ac:dyDescent="0.25"/>
    <row r="707" ht="12" customHeight="1" x14ac:dyDescent="0.25"/>
    <row r="708" ht="12" customHeight="1" x14ac:dyDescent="0.25"/>
    <row r="709" ht="12" customHeight="1" x14ac:dyDescent="0.25"/>
    <row r="710" ht="12" customHeight="1" x14ac:dyDescent="0.25"/>
    <row r="711" ht="12" customHeight="1" x14ac:dyDescent="0.25"/>
    <row r="712" ht="12" customHeight="1" x14ac:dyDescent="0.25"/>
    <row r="713" ht="12" customHeight="1" x14ac:dyDescent="0.25"/>
    <row r="714" ht="12" customHeight="1" x14ac:dyDescent="0.25"/>
    <row r="715" ht="12" customHeight="1" x14ac:dyDescent="0.25"/>
    <row r="716" ht="12" customHeight="1" x14ac:dyDescent="0.25"/>
    <row r="717" ht="12" customHeight="1" x14ac:dyDescent="0.25"/>
    <row r="718" ht="12" customHeight="1" x14ac:dyDescent="0.25"/>
    <row r="719" ht="12" customHeight="1" x14ac:dyDescent="0.25"/>
    <row r="720" ht="12" customHeight="1" x14ac:dyDescent="0.25"/>
    <row r="721" ht="12" customHeight="1" x14ac:dyDescent="0.25"/>
    <row r="722" ht="12" customHeight="1" x14ac:dyDescent="0.25"/>
    <row r="723" ht="12" customHeight="1" x14ac:dyDescent="0.25"/>
    <row r="724" ht="12" customHeight="1" x14ac:dyDescent="0.25"/>
    <row r="725" ht="12" customHeight="1" x14ac:dyDescent="0.25"/>
    <row r="726" ht="12" customHeight="1" x14ac:dyDescent="0.25"/>
    <row r="727" ht="12" customHeight="1" x14ac:dyDescent="0.25"/>
    <row r="728" ht="12" customHeight="1" x14ac:dyDescent="0.25"/>
    <row r="729" ht="12" customHeight="1" x14ac:dyDescent="0.25"/>
    <row r="730" ht="12" customHeight="1" x14ac:dyDescent="0.25"/>
    <row r="731" ht="12" customHeight="1" x14ac:dyDescent="0.25"/>
    <row r="732" ht="12" customHeight="1" x14ac:dyDescent="0.25"/>
    <row r="733" ht="12" customHeight="1" x14ac:dyDescent="0.25"/>
    <row r="734" ht="12" customHeight="1" x14ac:dyDescent="0.25"/>
    <row r="735" ht="12" customHeight="1" x14ac:dyDescent="0.25"/>
    <row r="736" ht="12" customHeight="1" x14ac:dyDescent="0.25"/>
    <row r="737" ht="12" customHeight="1" x14ac:dyDescent="0.25"/>
    <row r="738" ht="12" customHeight="1" x14ac:dyDescent="0.25"/>
    <row r="739" ht="12" customHeight="1" x14ac:dyDescent="0.25"/>
    <row r="740" ht="12" customHeight="1" x14ac:dyDescent="0.25"/>
    <row r="741" ht="12" customHeight="1" x14ac:dyDescent="0.25"/>
    <row r="742" ht="12" customHeight="1" x14ac:dyDescent="0.25"/>
    <row r="743" ht="12" customHeight="1" x14ac:dyDescent="0.25"/>
    <row r="744" ht="12" customHeight="1" x14ac:dyDescent="0.25"/>
    <row r="745" ht="12" customHeight="1" x14ac:dyDescent="0.25"/>
    <row r="746" ht="12" customHeight="1" x14ac:dyDescent="0.25"/>
    <row r="747" ht="12" customHeight="1" x14ac:dyDescent="0.25"/>
    <row r="748" ht="12" customHeight="1" x14ac:dyDescent="0.25"/>
    <row r="749" ht="12" customHeight="1" x14ac:dyDescent="0.25"/>
    <row r="750" ht="12" customHeight="1" x14ac:dyDescent="0.25"/>
    <row r="751" ht="12" customHeight="1" x14ac:dyDescent="0.25"/>
    <row r="752" ht="12" customHeight="1" x14ac:dyDescent="0.25"/>
    <row r="753" ht="12" customHeight="1" x14ac:dyDescent="0.25"/>
    <row r="754" ht="12" customHeight="1" x14ac:dyDescent="0.25"/>
    <row r="755" ht="12" customHeight="1" x14ac:dyDescent="0.25"/>
    <row r="756" ht="12" customHeight="1" x14ac:dyDescent="0.25"/>
    <row r="757" ht="12" customHeight="1" x14ac:dyDescent="0.25"/>
    <row r="758" ht="12" customHeight="1" x14ac:dyDescent="0.25"/>
    <row r="759" ht="12" customHeight="1" x14ac:dyDescent="0.25"/>
    <row r="760" ht="12" customHeight="1" x14ac:dyDescent="0.25"/>
    <row r="761" ht="12" customHeight="1" x14ac:dyDescent="0.25"/>
    <row r="762" ht="12" customHeight="1" x14ac:dyDescent="0.25"/>
    <row r="763" ht="12" customHeight="1" x14ac:dyDescent="0.25"/>
    <row r="764" ht="12" customHeight="1" x14ac:dyDescent="0.25"/>
    <row r="765" ht="12" customHeight="1" x14ac:dyDescent="0.25"/>
    <row r="766" ht="12" customHeight="1" x14ac:dyDescent="0.25"/>
    <row r="767" ht="12" customHeight="1" x14ac:dyDescent="0.25"/>
    <row r="768" ht="12" customHeight="1" x14ac:dyDescent="0.25"/>
    <row r="769" ht="12" customHeight="1" x14ac:dyDescent="0.25"/>
    <row r="770" ht="12" customHeight="1" x14ac:dyDescent="0.25"/>
    <row r="771" ht="12" customHeight="1" x14ac:dyDescent="0.25"/>
    <row r="772" ht="12" customHeight="1" x14ac:dyDescent="0.25"/>
    <row r="773" ht="12" customHeight="1" x14ac:dyDescent="0.25"/>
    <row r="774" ht="12" customHeight="1" x14ac:dyDescent="0.25"/>
    <row r="775" ht="12" customHeight="1" x14ac:dyDescent="0.25"/>
    <row r="776" ht="12" customHeight="1" x14ac:dyDescent="0.25"/>
    <row r="777" ht="12" customHeight="1" x14ac:dyDescent="0.25"/>
    <row r="778" ht="12" customHeight="1" x14ac:dyDescent="0.25"/>
    <row r="779" ht="12" customHeight="1" x14ac:dyDescent="0.25"/>
    <row r="780" ht="12" customHeight="1" x14ac:dyDescent="0.25"/>
    <row r="781" ht="12" customHeight="1" x14ac:dyDescent="0.25"/>
    <row r="782" ht="12" customHeight="1" x14ac:dyDescent="0.25"/>
    <row r="783" ht="12" customHeight="1" x14ac:dyDescent="0.25"/>
    <row r="784" ht="12" customHeight="1" x14ac:dyDescent="0.25"/>
    <row r="785" ht="12" customHeight="1" x14ac:dyDescent="0.25"/>
    <row r="786" ht="12" customHeight="1" x14ac:dyDescent="0.25"/>
    <row r="787" ht="12" customHeight="1" x14ac:dyDescent="0.25"/>
    <row r="788" ht="12" customHeight="1" x14ac:dyDescent="0.25"/>
    <row r="789" ht="12" customHeight="1" x14ac:dyDescent="0.25"/>
    <row r="790" ht="12" customHeight="1" x14ac:dyDescent="0.25"/>
    <row r="791" ht="12" customHeight="1" x14ac:dyDescent="0.25"/>
    <row r="792" ht="12" customHeight="1" x14ac:dyDescent="0.25"/>
    <row r="793" ht="12" customHeight="1" x14ac:dyDescent="0.25"/>
    <row r="794" ht="12" customHeight="1" x14ac:dyDescent="0.25"/>
    <row r="795" ht="12" customHeight="1" x14ac:dyDescent="0.25"/>
    <row r="796" ht="12" customHeight="1" x14ac:dyDescent="0.25"/>
    <row r="797" ht="12" customHeight="1" x14ac:dyDescent="0.25"/>
    <row r="798" ht="12" customHeight="1" x14ac:dyDescent="0.25"/>
    <row r="799" ht="12" customHeight="1" x14ac:dyDescent="0.25"/>
    <row r="800" ht="12" customHeight="1" x14ac:dyDescent="0.25"/>
    <row r="801" ht="12" customHeight="1" x14ac:dyDescent="0.25"/>
    <row r="802" ht="12" customHeight="1" x14ac:dyDescent="0.25"/>
    <row r="803" ht="12" customHeight="1" x14ac:dyDescent="0.25"/>
    <row r="804" ht="12" customHeight="1" x14ac:dyDescent="0.25"/>
    <row r="805" ht="12" customHeight="1" x14ac:dyDescent="0.25"/>
    <row r="806" ht="12" customHeight="1" x14ac:dyDescent="0.25"/>
    <row r="807" ht="12" customHeight="1" x14ac:dyDescent="0.25"/>
    <row r="808" ht="12" customHeight="1" x14ac:dyDescent="0.25"/>
    <row r="809" ht="12" customHeight="1" x14ac:dyDescent="0.25"/>
    <row r="810" ht="12" customHeight="1" x14ac:dyDescent="0.25"/>
    <row r="811" ht="12" customHeight="1" x14ac:dyDescent="0.25"/>
    <row r="812" ht="12" customHeight="1" x14ac:dyDescent="0.25"/>
    <row r="813" ht="12" customHeight="1" x14ac:dyDescent="0.25"/>
    <row r="814" ht="12" customHeight="1" x14ac:dyDescent="0.25"/>
    <row r="815" ht="12" customHeight="1" x14ac:dyDescent="0.25"/>
    <row r="816" ht="12" customHeight="1" x14ac:dyDescent="0.25"/>
    <row r="817" ht="12" customHeight="1" x14ac:dyDescent="0.25"/>
    <row r="818" ht="12" customHeight="1" x14ac:dyDescent="0.25"/>
    <row r="819" ht="12" customHeight="1" x14ac:dyDescent="0.25"/>
    <row r="820" ht="12" customHeight="1" x14ac:dyDescent="0.25"/>
    <row r="821" ht="12" customHeight="1" x14ac:dyDescent="0.25"/>
    <row r="822" ht="12" customHeight="1" x14ac:dyDescent="0.25"/>
    <row r="823" ht="12" customHeight="1" x14ac:dyDescent="0.25"/>
    <row r="824" ht="12" customHeight="1" x14ac:dyDescent="0.25"/>
    <row r="825" ht="12" customHeight="1" x14ac:dyDescent="0.25"/>
    <row r="826" ht="12" customHeight="1" x14ac:dyDescent="0.25"/>
    <row r="827" ht="12" customHeight="1" x14ac:dyDescent="0.25"/>
    <row r="828" ht="12" customHeight="1" x14ac:dyDescent="0.25"/>
    <row r="829" ht="12" customHeight="1" x14ac:dyDescent="0.25"/>
    <row r="830" ht="12" customHeight="1" x14ac:dyDescent="0.25"/>
    <row r="831" ht="12" customHeight="1" x14ac:dyDescent="0.25"/>
    <row r="832" ht="12" customHeight="1" x14ac:dyDescent="0.25"/>
    <row r="833" ht="12" customHeight="1" x14ac:dyDescent="0.25"/>
    <row r="834" ht="12" customHeight="1" x14ac:dyDescent="0.25"/>
    <row r="835" ht="12" customHeight="1" x14ac:dyDescent="0.25"/>
    <row r="836" ht="12" customHeight="1" x14ac:dyDescent="0.25"/>
    <row r="837" ht="12" customHeight="1" x14ac:dyDescent="0.25"/>
    <row r="838" ht="12" customHeight="1" x14ac:dyDescent="0.25"/>
    <row r="839" ht="12" customHeight="1" x14ac:dyDescent="0.25"/>
    <row r="840" ht="12" customHeight="1" x14ac:dyDescent="0.25"/>
    <row r="841" ht="12" customHeight="1" x14ac:dyDescent="0.25"/>
    <row r="842" ht="12" customHeight="1" x14ac:dyDescent="0.25"/>
    <row r="843" ht="12" customHeight="1" x14ac:dyDescent="0.25"/>
    <row r="844" ht="12" customHeight="1" x14ac:dyDescent="0.25"/>
    <row r="845" ht="12" customHeight="1" x14ac:dyDescent="0.25"/>
    <row r="846" ht="12" customHeight="1" x14ac:dyDescent="0.25"/>
    <row r="847" ht="12" customHeight="1" x14ac:dyDescent="0.25"/>
    <row r="848" ht="12" customHeight="1" x14ac:dyDescent="0.25"/>
    <row r="849" ht="12" customHeight="1" x14ac:dyDescent="0.25"/>
    <row r="850" ht="12" customHeight="1" x14ac:dyDescent="0.25"/>
    <row r="851" ht="12" customHeight="1" x14ac:dyDescent="0.25"/>
    <row r="852" ht="12" customHeight="1" x14ac:dyDescent="0.25"/>
    <row r="853" ht="12" customHeight="1" x14ac:dyDescent="0.25"/>
    <row r="854" ht="12" customHeight="1" x14ac:dyDescent="0.25"/>
    <row r="855" ht="12" customHeight="1" x14ac:dyDescent="0.25"/>
    <row r="856" ht="12" customHeight="1" x14ac:dyDescent="0.25"/>
    <row r="857" ht="12" customHeight="1" x14ac:dyDescent="0.25"/>
    <row r="858" ht="12" customHeight="1" x14ac:dyDescent="0.25"/>
    <row r="859" ht="12" customHeight="1" x14ac:dyDescent="0.25"/>
    <row r="860" ht="12" customHeight="1" x14ac:dyDescent="0.25"/>
    <row r="861" ht="12" customHeight="1" x14ac:dyDescent="0.25"/>
    <row r="862" ht="12" customHeight="1" x14ac:dyDescent="0.25"/>
    <row r="863" ht="12" customHeight="1" x14ac:dyDescent="0.25"/>
    <row r="864" ht="12" customHeight="1" x14ac:dyDescent="0.25"/>
    <row r="865" ht="12" customHeight="1" x14ac:dyDescent="0.25"/>
    <row r="866" ht="12" customHeight="1" x14ac:dyDescent="0.25"/>
    <row r="867" ht="12" customHeight="1" x14ac:dyDescent="0.25"/>
    <row r="868" ht="12" customHeight="1" x14ac:dyDescent="0.25"/>
    <row r="869" ht="12" customHeight="1" x14ac:dyDescent="0.25"/>
    <row r="870" ht="12" customHeight="1" x14ac:dyDescent="0.25"/>
    <row r="871" ht="12" customHeight="1" x14ac:dyDescent="0.25"/>
    <row r="872" ht="12" customHeight="1" x14ac:dyDescent="0.25"/>
    <row r="873" ht="12" customHeight="1" x14ac:dyDescent="0.25"/>
    <row r="874" ht="12" customHeight="1" x14ac:dyDescent="0.25"/>
    <row r="875" ht="12" customHeight="1" x14ac:dyDescent="0.25"/>
    <row r="876" ht="12" customHeight="1" x14ac:dyDescent="0.25"/>
    <row r="877" ht="12" customHeight="1" x14ac:dyDescent="0.25"/>
    <row r="878" ht="12" customHeight="1" x14ac:dyDescent="0.25"/>
    <row r="879" ht="12" customHeight="1" x14ac:dyDescent="0.25"/>
    <row r="880" ht="12" customHeight="1" x14ac:dyDescent="0.25"/>
    <row r="881" ht="12" customHeight="1" x14ac:dyDescent="0.25"/>
    <row r="882" ht="12" customHeight="1" x14ac:dyDescent="0.25"/>
    <row r="883" ht="12" customHeight="1" x14ac:dyDescent="0.25"/>
    <row r="884" ht="12" customHeight="1" x14ac:dyDescent="0.25"/>
    <row r="885" ht="12" customHeight="1" x14ac:dyDescent="0.25"/>
    <row r="886" ht="12" customHeight="1" x14ac:dyDescent="0.25"/>
    <row r="887" ht="12" customHeight="1" x14ac:dyDescent="0.25"/>
    <row r="888" ht="12" customHeight="1" x14ac:dyDescent="0.25"/>
    <row r="889" ht="12" customHeight="1" x14ac:dyDescent="0.25"/>
    <row r="890" ht="12" customHeight="1" x14ac:dyDescent="0.25"/>
    <row r="891" ht="12" customHeight="1" x14ac:dyDescent="0.25"/>
    <row r="892" ht="12" customHeight="1" x14ac:dyDescent="0.25"/>
    <row r="893" ht="12" customHeight="1" x14ac:dyDescent="0.25"/>
    <row r="894" ht="12" customHeight="1" x14ac:dyDescent="0.25"/>
    <row r="895" ht="12" customHeight="1" x14ac:dyDescent="0.25"/>
    <row r="896" ht="12" customHeight="1" x14ac:dyDescent="0.25"/>
    <row r="897" ht="12" customHeight="1" x14ac:dyDescent="0.25"/>
    <row r="898" ht="12" customHeight="1" x14ac:dyDescent="0.25"/>
    <row r="899" ht="12" customHeight="1" x14ac:dyDescent="0.25"/>
    <row r="900" ht="12" customHeight="1" x14ac:dyDescent="0.25"/>
    <row r="901" ht="12" customHeight="1" x14ac:dyDescent="0.25"/>
    <row r="902" ht="12" customHeight="1" x14ac:dyDescent="0.25"/>
    <row r="903" ht="12" customHeight="1" x14ac:dyDescent="0.25"/>
    <row r="904" ht="12" customHeight="1" x14ac:dyDescent="0.25"/>
    <row r="905" ht="12" customHeight="1" x14ac:dyDescent="0.25"/>
    <row r="906" ht="12" customHeight="1" x14ac:dyDescent="0.25"/>
    <row r="907" ht="12" customHeight="1" x14ac:dyDescent="0.25"/>
    <row r="908" ht="12" customHeight="1" x14ac:dyDescent="0.25"/>
    <row r="909" ht="12" customHeight="1" x14ac:dyDescent="0.25"/>
    <row r="910" ht="12" customHeight="1" x14ac:dyDescent="0.25"/>
    <row r="911" ht="12" customHeight="1" x14ac:dyDescent="0.25"/>
    <row r="912" ht="12" customHeight="1" x14ac:dyDescent="0.25"/>
    <row r="913" ht="12" customHeight="1" x14ac:dyDescent="0.25"/>
    <row r="914" ht="12" customHeight="1" x14ac:dyDescent="0.25"/>
    <row r="915" ht="12" customHeight="1" x14ac:dyDescent="0.25"/>
    <row r="916" ht="12" customHeight="1" x14ac:dyDescent="0.25"/>
    <row r="917" ht="12" customHeight="1" x14ac:dyDescent="0.25"/>
    <row r="918" ht="12" customHeight="1" x14ac:dyDescent="0.25"/>
    <row r="919" ht="12" customHeight="1" x14ac:dyDescent="0.25"/>
    <row r="920" ht="12" customHeight="1" x14ac:dyDescent="0.25"/>
    <row r="921" ht="12" customHeight="1" x14ac:dyDescent="0.25"/>
    <row r="922" ht="12" customHeight="1" x14ac:dyDescent="0.25"/>
    <row r="923" ht="12" customHeight="1" x14ac:dyDescent="0.25"/>
    <row r="924" ht="12" customHeight="1" x14ac:dyDescent="0.25"/>
    <row r="925" ht="12" customHeight="1" x14ac:dyDescent="0.25"/>
    <row r="926" ht="12" customHeight="1" x14ac:dyDescent="0.25"/>
    <row r="927" ht="12" customHeight="1" x14ac:dyDescent="0.25"/>
    <row r="928" ht="12" customHeight="1" x14ac:dyDescent="0.25"/>
    <row r="929" ht="12" customHeight="1" x14ac:dyDescent="0.25"/>
    <row r="930" ht="12" customHeight="1" x14ac:dyDescent="0.25"/>
    <row r="931" ht="12" customHeight="1" x14ac:dyDescent="0.25"/>
    <row r="932" ht="12" customHeight="1" x14ac:dyDescent="0.25"/>
    <row r="933" ht="12" customHeight="1" x14ac:dyDescent="0.25"/>
    <row r="934" ht="12" customHeight="1" x14ac:dyDescent="0.25"/>
    <row r="935" ht="12" customHeight="1" x14ac:dyDescent="0.25"/>
    <row r="936" ht="12" customHeight="1" x14ac:dyDescent="0.25"/>
    <row r="937" ht="12" customHeight="1" x14ac:dyDescent="0.25"/>
    <row r="938" ht="12" customHeight="1" x14ac:dyDescent="0.25"/>
    <row r="939" ht="12" customHeight="1" x14ac:dyDescent="0.25"/>
    <row r="940" ht="12" customHeight="1" x14ac:dyDescent="0.25"/>
    <row r="941" ht="12" customHeight="1" x14ac:dyDescent="0.25"/>
    <row r="942" ht="12" customHeight="1" x14ac:dyDescent="0.25"/>
    <row r="943" ht="12" customHeight="1" x14ac:dyDescent="0.25"/>
    <row r="944" ht="12" customHeight="1" x14ac:dyDescent="0.25"/>
    <row r="945" ht="12" customHeight="1" x14ac:dyDescent="0.25"/>
    <row r="946" ht="12" customHeight="1" x14ac:dyDescent="0.25"/>
    <row r="947" ht="12" customHeight="1" x14ac:dyDescent="0.25"/>
    <row r="948" ht="12" customHeight="1" x14ac:dyDescent="0.25"/>
    <row r="949" ht="12" customHeight="1" x14ac:dyDescent="0.25"/>
    <row r="950" ht="12" customHeight="1" x14ac:dyDescent="0.25"/>
    <row r="951" ht="12" customHeight="1" x14ac:dyDescent="0.25"/>
    <row r="952" ht="12" customHeight="1" x14ac:dyDescent="0.25"/>
    <row r="953" ht="12" customHeight="1" x14ac:dyDescent="0.25"/>
    <row r="954" ht="12" customHeight="1" x14ac:dyDescent="0.25"/>
    <row r="955" ht="12" customHeight="1" x14ac:dyDescent="0.25"/>
    <row r="956" ht="12" customHeight="1" x14ac:dyDescent="0.25"/>
    <row r="957" ht="12" customHeight="1" x14ac:dyDescent="0.25"/>
    <row r="958" ht="12" customHeight="1" x14ac:dyDescent="0.25"/>
    <row r="959" ht="12" customHeight="1" x14ac:dyDescent="0.25"/>
    <row r="960" ht="12" customHeight="1" x14ac:dyDescent="0.25"/>
    <row r="961" ht="12" customHeight="1" x14ac:dyDescent="0.25"/>
    <row r="962" ht="12" customHeight="1" x14ac:dyDescent="0.25"/>
    <row r="963" ht="12" customHeight="1" x14ac:dyDescent="0.25"/>
    <row r="964" ht="12" customHeight="1" x14ac:dyDescent="0.25"/>
    <row r="965" ht="12" customHeight="1" x14ac:dyDescent="0.25"/>
    <row r="966" ht="12" customHeight="1" x14ac:dyDescent="0.25"/>
    <row r="967" ht="12" customHeight="1" x14ac:dyDescent="0.25"/>
    <row r="968" ht="12" customHeight="1" x14ac:dyDescent="0.25"/>
    <row r="969" ht="12" customHeight="1" x14ac:dyDescent="0.25"/>
    <row r="970" ht="12" customHeight="1" x14ac:dyDescent="0.25"/>
    <row r="971" ht="12" customHeight="1" x14ac:dyDescent="0.25"/>
    <row r="972" ht="12" customHeight="1" x14ac:dyDescent="0.25"/>
    <row r="973" ht="12" customHeight="1" x14ac:dyDescent="0.25"/>
    <row r="974" ht="12" customHeight="1" x14ac:dyDescent="0.25"/>
    <row r="975" ht="12" customHeight="1" x14ac:dyDescent="0.25"/>
    <row r="976" ht="12" customHeight="1" x14ac:dyDescent="0.25"/>
    <row r="977" ht="12" customHeight="1" x14ac:dyDescent="0.25"/>
    <row r="978" ht="12" customHeight="1" x14ac:dyDescent="0.25"/>
    <row r="979" ht="12" customHeight="1" x14ac:dyDescent="0.25"/>
    <row r="980" ht="12" customHeight="1" x14ac:dyDescent="0.25"/>
    <row r="981" ht="12" customHeight="1" x14ac:dyDescent="0.25"/>
    <row r="982" ht="12" customHeight="1" x14ac:dyDescent="0.25"/>
    <row r="983" ht="12" customHeight="1" x14ac:dyDescent="0.25"/>
    <row r="984" ht="12" customHeight="1" x14ac:dyDescent="0.25"/>
    <row r="985" ht="12" customHeight="1" x14ac:dyDescent="0.25"/>
    <row r="986" ht="12" customHeight="1" x14ac:dyDescent="0.25"/>
    <row r="987" ht="12" customHeight="1" x14ac:dyDescent="0.25"/>
    <row r="988" ht="12" customHeight="1" x14ac:dyDescent="0.25"/>
    <row r="989" ht="12" customHeight="1" x14ac:dyDescent="0.25"/>
    <row r="990" ht="12" customHeight="1" x14ac:dyDescent="0.25"/>
    <row r="991" ht="12" customHeight="1" x14ac:dyDescent="0.25"/>
    <row r="992" ht="12" customHeight="1" x14ac:dyDescent="0.25"/>
    <row r="993" ht="12" customHeight="1" x14ac:dyDescent="0.25"/>
    <row r="994" ht="12" customHeight="1" x14ac:dyDescent="0.25"/>
    <row r="995" ht="12" customHeight="1" x14ac:dyDescent="0.25"/>
    <row r="996" ht="12" customHeight="1" x14ac:dyDescent="0.25"/>
    <row r="997" ht="12" customHeight="1" x14ac:dyDescent="0.25"/>
    <row r="998" ht="12" customHeight="1" x14ac:dyDescent="0.25"/>
    <row r="999" ht="12" customHeight="1" x14ac:dyDescent="0.25"/>
    <row r="1000" ht="12" customHeight="1" x14ac:dyDescent="0.25"/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2025</vt:lpstr>
      <vt:lpstr>Sähkönkulutus</vt:lpstr>
      <vt:lpstr>Norm.Lämmityssähkö</vt:lpstr>
      <vt:lpstr>Ominaislämmönkulutus</vt:lpstr>
      <vt:lpstr>Astepäiväkuvaaja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Taul2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janti</dc:creator>
  <dc:description/>
  <cp:lastModifiedBy>Janne Tiainen</cp:lastModifiedBy>
  <cp:revision>2</cp:revision>
  <dcterms:created xsi:type="dcterms:W3CDTF">2002-04-17T17:58:54Z</dcterms:created>
  <dcterms:modified xsi:type="dcterms:W3CDTF">2026-01-01T11:06:05Z</dcterms:modified>
  <dc:language>fi-FI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5044c0-b6aa-4b2b-834d-65c9ef8bb134_ActionId">
    <vt:lpwstr>99dc8b70-656b-416d-b7f4-1a31373971e1</vt:lpwstr>
  </property>
  <property fmtid="{D5CDD505-2E9C-101B-9397-08002B2CF9AE}" pid="3" name="MSIP_Label_f45044c0-b6aa-4b2b-834d-65c9ef8bb134_ContentBits">
    <vt:lpwstr>0</vt:lpwstr>
  </property>
  <property fmtid="{D5CDD505-2E9C-101B-9397-08002B2CF9AE}" pid="4" name="MSIP_Label_f45044c0-b6aa-4b2b-834d-65c9ef8bb134_Enabled">
    <vt:lpwstr>true</vt:lpwstr>
  </property>
  <property fmtid="{D5CDD505-2E9C-101B-9397-08002B2CF9AE}" pid="5" name="MSIP_Label_f45044c0-b6aa-4b2b-834d-65c9ef8bb134_Method">
    <vt:lpwstr>Standard</vt:lpwstr>
  </property>
  <property fmtid="{D5CDD505-2E9C-101B-9397-08002B2CF9AE}" pid="6" name="MSIP_Label_f45044c0-b6aa-4b2b-834d-65c9ef8bb134_Name">
    <vt:lpwstr>f45044c0-b6aa-4b2b-834d-65c9ef8bb134</vt:lpwstr>
  </property>
  <property fmtid="{D5CDD505-2E9C-101B-9397-08002B2CF9AE}" pid="7" name="MSIP_Label_f45044c0-b6aa-4b2b-834d-65c9ef8bb134_SetDate">
    <vt:lpwstr>2021-03-01T12:51:48Z</vt:lpwstr>
  </property>
  <property fmtid="{D5CDD505-2E9C-101B-9397-08002B2CF9AE}" pid="8" name="MSIP_Label_f45044c0-b6aa-4b2b-834d-65c9ef8bb134_SiteId">
    <vt:lpwstr>62a9c2c8-8b09-43be-a7fb-9a87875714a9</vt:lpwstr>
  </property>
</Properties>
</file>