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6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0" ContentType="application/binary"/>
  <Override PartName="/xl/commentsmeta11" ContentType="application/binary"/>
  <Override PartName="/xl/commentsmeta1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"/>
    </mc:Choice>
  </mc:AlternateContent>
  <xr:revisionPtr revIDLastSave="0" documentId="13_ncr:1_{F2BF8A34-0954-4609-A452-D0970CCF88B7}" xr6:coauthVersionLast="47" xr6:coauthVersionMax="47" xr10:uidLastSave="{00000000-0000-0000-0000-000000000000}"/>
  <bookViews>
    <workbookView xWindow="-108" yWindow="-108" windowWidth="23256" windowHeight="12456" tabRatio="706" xr2:uid="{00000000-000D-0000-FFFF-FFFF00000000}"/>
  </bookViews>
  <sheets>
    <sheet name="2026" sheetId="25" r:id="rId1"/>
    <sheet name="Sähkönkulutus" sheetId="2" r:id="rId2"/>
    <sheet name="Norm.Lämmityssähkö" sheetId="3" r:id="rId3"/>
    <sheet name="Astepäiväseuranta" sheetId="4" r:id="rId4"/>
    <sheet name="2025" sheetId="1" r:id="rId5"/>
    <sheet name="2024" sheetId="5" r:id="rId6"/>
    <sheet name="2023" sheetId="6" r:id="rId7"/>
    <sheet name="2022" sheetId="7" r:id="rId8"/>
    <sheet name="2021" sheetId="8" r:id="rId9"/>
    <sheet name="2020" sheetId="9" r:id="rId10"/>
    <sheet name="2019" sheetId="10" r:id="rId11"/>
    <sheet name="2018" sheetId="11" r:id="rId12"/>
    <sheet name="2017" sheetId="12" r:id="rId13"/>
    <sheet name="2016" sheetId="13" r:id="rId14"/>
    <sheet name="2015" sheetId="14" r:id="rId15"/>
    <sheet name="2014" sheetId="15" r:id="rId16"/>
    <sheet name="2013" sheetId="16" r:id="rId17"/>
    <sheet name="2012" sheetId="17" r:id="rId18"/>
    <sheet name="2011" sheetId="18" r:id="rId19"/>
    <sheet name="2010" sheetId="19" r:id="rId20"/>
    <sheet name="2009" sheetId="20" r:id="rId21"/>
    <sheet name="2008" sheetId="21" r:id="rId22"/>
    <sheet name="2007" sheetId="22" r:id="rId23"/>
    <sheet name="Naapurit I" sheetId="23" r:id="rId24"/>
    <sheet name="Naapurit II" sheetId="24" r:id="rId25"/>
  </sheets>
  <definedNames>
    <definedName name="Print_Area_0" localSheetId="22">'2007'!$A$1:$P$26</definedName>
    <definedName name="Print_Area_0" localSheetId="21">'2008'!$A$1:$P$28</definedName>
    <definedName name="Print_Area_0" localSheetId="20">'2009'!$A$1:$P$28</definedName>
    <definedName name="Print_Area_0" localSheetId="19">'2010'!$A$1:$P$28</definedName>
    <definedName name="Print_Area_0" localSheetId="18">'2011'!$A$1:$P$28</definedName>
    <definedName name="Print_Area_0" localSheetId="17">'2012'!$A$1:$P$28</definedName>
    <definedName name="Print_Area_0" localSheetId="16">'2013'!$A$1:$P$28</definedName>
    <definedName name="Print_Area_0" localSheetId="15">'2014'!$A$1:$P$28</definedName>
    <definedName name="Print_Area_0" localSheetId="14">'2015'!$A$1:$P$28</definedName>
    <definedName name="Print_Area_0" localSheetId="13">'2016'!$A$1:$P$28</definedName>
    <definedName name="Print_Area_0" localSheetId="12">'2017'!$A$1:$P$28</definedName>
    <definedName name="Print_Area_0" localSheetId="11">'2018'!$A$1:$P$28</definedName>
    <definedName name="Print_Area_0" localSheetId="10">'2019'!$A$1:$P$28</definedName>
    <definedName name="Print_Area_0" localSheetId="9">'2020'!$A$1:$P$28</definedName>
    <definedName name="Print_Area_0" localSheetId="8">'2021'!$A$1:$P$29</definedName>
    <definedName name="Print_Area_0" localSheetId="7">'2022'!$A$1:$P$29</definedName>
    <definedName name="Print_Area_0" localSheetId="6">'2023'!$A$1:$P$29</definedName>
    <definedName name="Print_Area_0" localSheetId="5">'2024'!$A$1:$P$29</definedName>
    <definedName name="Print_Area_0" localSheetId="4">'2025'!$A$1:$P$29</definedName>
    <definedName name="Print_Area_0" localSheetId="0">'2026'!$A$1:$P$29</definedName>
    <definedName name="Print_Area_0" localSheetId="23">'Naapurit I'!$A$1:$P$15</definedName>
    <definedName name="Print_Area_0" localSheetId="24">'Naapurit II'!$A$1:$P$15</definedName>
    <definedName name="Print_Area_0_0" localSheetId="22">'2007'!$A$1:$P$26</definedName>
    <definedName name="Print_Area_0_0" localSheetId="21">'2008'!$A$1:$P$28</definedName>
    <definedName name="Print_Area_0_0" localSheetId="20">'2009'!$A$1:$P$28</definedName>
    <definedName name="Print_Area_0_0" localSheetId="19">'2010'!$A$1:$P$28</definedName>
    <definedName name="Print_Area_0_0" localSheetId="18">'2011'!$A$1:$P$28</definedName>
    <definedName name="Print_Area_0_0" localSheetId="17">'2012'!$A$1:$P$28</definedName>
    <definedName name="Print_Area_0_0" localSheetId="16">'2013'!$A$1:$P$28</definedName>
    <definedName name="Print_Area_0_0" localSheetId="15">'2014'!$A$1:$P$28</definedName>
    <definedName name="Print_Area_0_0" localSheetId="14">'2015'!$A$1:$P$28</definedName>
    <definedName name="Print_Area_0_0" localSheetId="13">'2016'!$A$1:$P$28</definedName>
    <definedName name="Print_Area_0_0" localSheetId="12">'2017'!$A$1:$P$28</definedName>
    <definedName name="Print_Area_0_0" localSheetId="11">'2018'!$A$1:$P$28</definedName>
    <definedName name="Print_Area_0_0" localSheetId="10">'2019'!$A$1:$P$28</definedName>
    <definedName name="Print_Area_0_0" localSheetId="9">'2020'!$A$1:$P$28</definedName>
    <definedName name="Print_Area_0_0" localSheetId="8">'2021'!$A$1:$P$29</definedName>
    <definedName name="Print_Area_0_0" localSheetId="7">'2022'!$A$1:$P$29</definedName>
    <definedName name="Print_Area_0_0" localSheetId="6">'2023'!$A$1:$P$29</definedName>
    <definedName name="Print_Area_0_0" localSheetId="5">'2024'!$A$1:$P$29</definedName>
    <definedName name="Print_Area_0_0" localSheetId="4">'2025'!$A$1:$P$29</definedName>
    <definedName name="Print_Area_0_0" localSheetId="0">'2026'!$A$1:$P$29</definedName>
    <definedName name="Print_Area_0_0" localSheetId="23">'Naapurit I'!$A$1:$P$15</definedName>
    <definedName name="Print_Area_0_0" localSheetId="24">'Naapurit II'!$A$1:$P$15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28" roundtripDataChecksum="fPud/nmqQOaMhAMR7n6De0K6BAoHQjl7deBwR8RkH18="/>
    </ext>
  </extLst>
</workbook>
</file>

<file path=xl/calcChain.xml><?xml version="1.0" encoding="utf-8"?>
<calcChain xmlns="http://schemas.openxmlformats.org/spreadsheetml/2006/main">
  <c r="J12" i="25" l="1"/>
  <c r="R219" i="24"/>
  <c r="R220" i="24"/>
  <c r="R221" i="24"/>
  <c r="R222" i="24"/>
  <c r="R223" i="24"/>
  <c r="R224" i="24"/>
  <c r="R218" i="24"/>
  <c r="R219" i="23"/>
  <c r="R220" i="23"/>
  <c r="R221" i="23"/>
  <c r="R222" i="23"/>
  <c r="R223" i="23"/>
  <c r="R224" i="23"/>
  <c r="R218" i="23"/>
  <c r="B16" i="4"/>
  <c r="I12" i="25"/>
  <c r="H12" i="25"/>
  <c r="H13" i="25"/>
  <c r="G13" i="25" l="1"/>
  <c r="G12" i="25" l="1"/>
  <c r="F12" i="25" l="1"/>
  <c r="F13" i="25" l="1"/>
  <c r="E13" i="25" l="1"/>
  <c r="E12" i="25" l="1"/>
  <c r="D13" i="25" l="1"/>
  <c r="O220" i="24" l="1"/>
  <c r="O223" i="24" s="1"/>
  <c r="O224" i="24" s="1"/>
  <c r="N220" i="24"/>
  <c r="N223" i="24" s="1"/>
  <c r="N224" i="24" s="1"/>
  <c r="M220" i="24"/>
  <c r="M223" i="24" s="1"/>
  <c r="M224" i="24" s="1"/>
  <c r="L220" i="24"/>
  <c r="L223" i="24" s="1"/>
  <c r="L224" i="24" s="1"/>
  <c r="K220" i="24"/>
  <c r="K223" i="24" s="1"/>
  <c r="K224" i="24" s="1"/>
  <c r="J220" i="24"/>
  <c r="I220" i="24"/>
  <c r="H220" i="24"/>
  <c r="G220" i="24"/>
  <c r="G223" i="24" s="1"/>
  <c r="G224" i="24" s="1"/>
  <c r="F220" i="24"/>
  <c r="F223" i="24" s="1"/>
  <c r="F224" i="24" s="1"/>
  <c r="E220" i="24"/>
  <c r="E223" i="24" s="1"/>
  <c r="E224" i="24" s="1"/>
  <c r="D220" i="24"/>
  <c r="P219" i="24"/>
  <c r="P218" i="24"/>
  <c r="P217" i="24"/>
  <c r="P216" i="24"/>
  <c r="O220" i="23"/>
  <c r="O223" i="23" s="1"/>
  <c r="O224" i="23" s="1"/>
  <c r="N220" i="23"/>
  <c r="N223" i="23" s="1"/>
  <c r="N224" i="23" s="1"/>
  <c r="M220" i="23"/>
  <c r="M223" i="23" s="1"/>
  <c r="M224" i="23" s="1"/>
  <c r="L220" i="23"/>
  <c r="L223" i="23" s="1"/>
  <c r="L224" i="23" s="1"/>
  <c r="K220" i="23"/>
  <c r="K223" i="23" s="1"/>
  <c r="K224" i="23" s="1"/>
  <c r="J220" i="23"/>
  <c r="I220" i="23"/>
  <c r="H220" i="23"/>
  <c r="G220" i="23"/>
  <c r="G223" i="23" s="1"/>
  <c r="G224" i="23" s="1"/>
  <c r="F220" i="23"/>
  <c r="F223" i="23" s="1"/>
  <c r="F224" i="23" s="1"/>
  <c r="E220" i="23"/>
  <c r="E223" i="23" s="1"/>
  <c r="E224" i="23" s="1"/>
  <c r="D220" i="23"/>
  <c r="P219" i="23"/>
  <c r="P218" i="23"/>
  <c r="P217" i="23"/>
  <c r="P216" i="23"/>
  <c r="J223" i="24" l="1"/>
  <c r="J223" i="23"/>
  <c r="I223" i="23"/>
  <c r="H223" i="24"/>
  <c r="H223" i="23"/>
  <c r="P220" i="24"/>
  <c r="P221" i="24"/>
  <c r="I223" i="24"/>
  <c r="D223" i="24"/>
  <c r="D223" i="23"/>
  <c r="P221" i="23"/>
  <c r="P220" i="23"/>
  <c r="D12" i="25"/>
  <c r="J224" i="24" l="1"/>
  <c r="J224" i="23"/>
  <c r="I224" i="24"/>
  <c r="I224" i="23"/>
  <c r="H224" i="24"/>
  <c r="H224" i="23"/>
  <c r="D224" i="24"/>
  <c r="P223" i="24"/>
  <c r="D224" i="23"/>
  <c r="P223" i="23"/>
  <c r="P224" i="24" l="1"/>
  <c r="P224" i="23"/>
  <c r="C16" i="4"/>
  <c r="D16" i="4"/>
  <c r="E16" i="4"/>
  <c r="P13" i="25"/>
  <c r="D43" i="25"/>
  <c r="N41" i="25" s="1"/>
  <c r="K41" i="25"/>
  <c r="K43" i="25" s="1"/>
  <c r="O16" i="25"/>
  <c r="O17" i="25" s="1"/>
  <c r="K16" i="25"/>
  <c r="K28" i="25" s="1"/>
  <c r="G16" i="25"/>
  <c r="G17" i="25" s="1"/>
  <c r="P15" i="25"/>
  <c r="N16" i="25"/>
  <c r="M16" i="25"/>
  <c r="L16" i="25"/>
  <c r="J16" i="25"/>
  <c r="I16" i="25"/>
  <c r="H16" i="25"/>
  <c r="K22" i="25"/>
  <c r="E16" i="25"/>
  <c r="H22" i="25"/>
  <c r="O11" i="25"/>
  <c r="O20" i="25" s="1"/>
  <c r="N11" i="25"/>
  <c r="N24" i="25" s="1"/>
  <c r="M11" i="25"/>
  <c r="M24" i="25" s="1"/>
  <c r="L11" i="25"/>
  <c r="L20" i="25" s="1"/>
  <c r="K11" i="25"/>
  <c r="K20" i="25" s="1"/>
  <c r="J11" i="25"/>
  <c r="I11" i="25"/>
  <c r="I20" i="25" s="1"/>
  <c r="H11" i="25"/>
  <c r="G11" i="25"/>
  <c r="G20" i="25" s="1"/>
  <c r="F11" i="25"/>
  <c r="E11" i="25"/>
  <c r="D11" i="25"/>
  <c r="P10" i="25"/>
  <c r="P9" i="25"/>
  <c r="P8" i="25"/>
  <c r="P7" i="25"/>
  <c r="F4" i="25"/>
  <c r="E24" i="25" l="1"/>
  <c r="O3" i="25"/>
  <c r="J32" i="25"/>
  <c r="J30" i="25"/>
  <c r="J33" i="25"/>
  <c r="J17" i="25"/>
  <c r="J28" i="25"/>
  <c r="H24" i="25"/>
  <c r="E33" i="25"/>
  <c r="E17" i="25"/>
  <c r="E32" i="25"/>
  <c r="E36" i="25" s="1"/>
  <c r="E28" i="25"/>
  <c r="E30" i="25"/>
  <c r="E29" i="25"/>
  <c r="H32" i="25"/>
  <c r="H36" i="25" s="1"/>
  <c r="H28" i="25"/>
  <c r="H30" i="25"/>
  <c r="H33" i="25"/>
  <c r="H29" i="25"/>
  <c r="H17" i="25"/>
  <c r="M33" i="25"/>
  <c r="M17" i="25"/>
  <c r="M32" i="25"/>
  <c r="M36" i="25" s="1"/>
  <c r="M29" i="25"/>
  <c r="M28" i="25"/>
  <c r="M30" i="25"/>
  <c r="J24" i="25"/>
  <c r="I28" i="25"/>
  <c r="I30" i="25"/>
  <c r="I33" i="25"/>
  <c r="I17" i="25"/>
  <c r="I32" i="25"/>
  <c r="R13" i="25"/>
  <c r="R17" i="25"/>
  <c r="G31" i="25"/>
  <c r="G35" i="25"/>
  <c r="G34" i="25"/>
  <c r="L30" i="25"/>
  <c r="L17" i="25"/>
  <c r="L29" i="25"/>
  <c r="L32" i="25"/>
  <c r="L36" i="25" s="1"/>
  <c r="L28" i="25"/>
  <c r="L33" i="25"/>
  <c r="O31" i="25"/>
  <c r="O35" i="25"/>
  <c r="O34" i="25"/>
  <c r="N29" i="25"/>
  <c r="N32" i="25"/>
  <c r="N36" i="25" s="1"/>
  <c r="N28" i="25"/>
  <c r="N30" i="25"/>
  <c r="N17" i="25"/>
  <c r="N33" i="25"/>
  <c r="H20" i="25"/>
  <c r="K21" i="25"/>
  <c r="O22" i="25"/>
  <c r="O26" i="25" s="1"/>
  <c r="G24" i="25"/>
  <c r="J20" i="25"/>
  <c r="E21" i="25"/>
  <c r="M21" i="25"/>
  <c r="I22" i="25"/>
  <c r="I24" i="25"/>
  <c r="G29" i="25"/>
  <c r="K32" i="25"/>
  <c r="P11" i="25"/>
  <c r="R9" i="25" s="1"/>
  <c r="G22" i="25"/>
  <c r="O24" i="25"/>
  <c r="K30" i="25"/>
  <c r="F16" i="25"/>
  <c r="F21" i="25"/>
  <c r="N21" i="25"/>
  <c r="J22" i="25"/>
  <c r="G33" i="25"/>
  <c r="O33" i="25"/>
  <c r="K42" i="25"/>
  <c r="O21" i="25"/>
  <c r="O30" i="25"/>
  <c r="K17" i="25"/>
  <c r="E20" i="25"/>
  <c r="M20" i="25"/>
  <c r="H21" i="25"/>
  <c r="D22" i="25"/>
  <c r="L22" i="25"/>
  <c r="L24" i="25"/>
  <c r="G28" i="25"/>
  <c r="O28" i="25"/>
  <c r="D20" i="25"/>
  <c r="K24" i="25"/>
  <c r="P12" i="25"/>
  <c r="F20" i="25"/>
  <c r="N20" i="25"/>
  <c r="I21" i="25"/>
  <c r="E22" i="25"/>
  <c r="M22" i="25"/>
  <c r="G32" i="25"/>
  <c r="G36" i="25" s="1"/>
  <c r="O32" i="25"/>
  <c r="O36" i="25" s="1"/>
  <c r="G21" i="25"/>
  <c r="G30" i="25"/>
  <c r="J21" i="25"/>
  <c r="F22" i="25"/>
  <c r="N22" i="25"/>
  <c r="O29" i="25"/>
  <c r="K33" i="25"/>
  <c r="D16" i="25"/>
  <c r="D24" i="25" s="1"/>
  <c r="D21" i="25"/>
  <c r="L21" i="25"/>
  <c r="O210" i="24"/>
  <c r="O210" i="23"/>
  <c r="O13" i="1"/>
  <c r="R10" i="25" l="1"/>
  <c r="R12" i="25"/>
  <c r="M31" i="25"/>
  <c r="M34" i="25"/>
  <c r="M35" i="25"/>
  <c r="F29" i="25"/>
  <c r="F28" i="25"/>
  <c r="F32" i="25"/>
  <c r="F36" i="25" s="1"/>
  <c r="F30" i="25"/>
  <c r="F33" i="25"/>
  <c r="F17" i="25"/>
  <c r="L31" i="25"/>
  <c r="L34" i="25"/>
  <c r="L35" i="25"/>
  <c r="I35" i="25"/>
  <c r="I31" i="25"/>
  <c r="I34" i="25"/>
  <c r="N34" i="25"/>
  <c r="N35" i="25"/>
  <c r="N31" i="25"/>
  <c r="H34" i="25"/>
  <c r="H35" i="25"/>
  <c r="H31" i="25"/>
  <c r="R11" i="25"/>
  <c r="P20" i="25"/>
  <c r="R15" i="25"/>
  <c r="J31" i="25"/>
  <c r="J34" i="25"/>
  <c r="J35" i="25"/>
  <c r="E31" i="25"/>
  <c r="E34" i="25"/>
  <c r="E35" i="25"/>
  <c r="F24" i="25"/>
  <c r="D30" i="25"/>
  <c r="L23" i="25"/>
  <c r="D23" i="25"/>
  <c r="D29" i="25"/>
  <c r="J23" i="25"/>
  <c r="O23" i="25"/>
  <c r="I23" i="25"/>
  <c r="D17" i="25"/>
  <c r="H23" i="25"/>
  <c r="P16" i="25"/>
  <c r="P24" i="25" s="1"/>
  <c r="G23" i="25"/>
  <c r="D32" i="25"/>
  <c r="D36" i="25" s="1"/>
  <c r="N23" i="25"/>
  <c r="F23" i="25"/>
  <c r="D33" i="25"/>
  <c r="K23" i="25"/>
  <c r="D28" i="25"/>
  <c r="M23" i="25"/>
  <c r="E23" i="25"/>
  <c r="K35" i="25"/>
  <c r="K31" i="25"/>
  <c r="K34" i="25"/>
  <c r="O49" i="25"/>
  <c r="N210" i="24"/>
  <c r="M210" i="24"/>
  <c r="L210" i="24"/>
  <c r="K210" i="24"/>
  <c r="H210" i="24"/>
  <c r="G210" i="24"/>
  <c r="F210" i="24"/>
  <c r="E210" i="24"/>
  <c r="D210" i="24"/>
  <c r="N210" i="23"/>
  <c r="M210" i="23"/>
  <c r="L210" i="23"/>
  <c r="K210" i="23"/>
  <c r="H210" i="23"/>
  <c r="G210" i="23"/>
  <c r="F210" i="23"/>
  <c r="E210" i="23"/>
  <c r="D210" i="23"/>
  <c r="D31" i="25" l="1"/>
  <c r="D34" i="25"/>
  <c r="D35" i="25"/>
  <c r="P17" i="25"/>
  <c r="F34" i="25"/>
  <c r="F35" i="25"/>
  <c r="F31" i="25"/>
  <c r="P32" i="25"/>
  <c r="P36" i="25" s="1"/>
  <c r="P28" i="25"/>
  <c r="P33" i="25"/>
  <c r="P30" i="25"/>
  <c r="P29" i="25"/>
  <c r="O12" i="1"/>
  <c r="N26" i="25" s="1"/>
  <c r="P34" i="25" l="1"/>
  <c r="P35" i="25"/>
  <c r="P31" i="25"/>
  <c r="N13" i="1"/>
  <c r="N12" i="1" l="1"/>
  <c r="M26" i="25" s="1"/>
  <c r="M13" i="1" l="1"/>
  <c r="M12" i="1" l="1"/>
  <c r="L26" i="25" s="1"/>
  <c r="L13" i="1" l="1"/>
  <c r="L12" i="1" l="1"/>
  <c r="K26" i="25" s="1"/>
  <c r="K13" i="1" l="1"/>
  <c r="K12" i="1" l="1"/>
  <c r="J26" i="25" s="1"/>
  <c r="J12" i="1" l="1"/>
  <c r="I26" i="25" s="1"/>
  <c r="I12" i="1" l="1"/>
  <c r="H26" i="25" s="1"/>
  <c r="H13" i="1" l="1"/>
  <c r="H12" i="1" l="1"/>
  <c r="G26" i="25" s="1"/>
  <c r="O212" i="24" l="1"/>
  <c r="O213" i="24" s="1"/>
  <c r="M212" i="24"/>
  <c r="M213" i="24" s="1"/>
  <c r="E212" i="24"/>
  <c r="E213" i="24" s="1"/>
  <c r="P210" i="24"/>
  <c r="O209" i="24"/>
  <c r="N209" i="24"/>
  <c r="N212" i="24" s="1"/>
  <c r="N213" i="24" s="1"/>
  <c r="M209" i="24"/>
  <c r="L209" i="24"/>
  <c r="K209" i="24"/>
  <c r="J209" i="24"/>
  <c r="J212" i="24" s="1"/>
  <c r="J213" i="24" s="1"/>
  <c r="I209" i="24"/>
  <c r="I212" i="24" s="1"/>
  <c r="I213" i="24" s="1"/>
  <c r="H209" i="24"/>
  <c r="G209" i="24"/>
  <c r="F209" i="24"/>
  <c r="F212" i="24" s="1"/>
  <c r="F213" i="24" s="1"/>
  <c r="E209" i="24"/>
  <c r="D209" i="24"/>
  <c r="D212" i="24" s="1"/>
  <c r="D213" i="24" s="1"/>
  <c r="P208" i="24"/>
  <c r="P207" i="24"/>
  <c r="P206" i="24"/>
  <c r="P205" i="24"/>
  <c r="O201" i="24"/>
  <c r="O202" i="24" s="1"/>
  <c r="I201" i="24"/>
  <c r="I202" i="24" s="1"/>
  <c r="H201" i="24"/>
  <c r="H202" i="24" s="1"/>
  <c r="P199" i="24"/>
  <c r="O198" i="24"/>
  <c r="N198" i="24"/>
  <c r="N201" i="24" s="1"/>
  <c r="N202" i="24" s="1"/>
  <c r="M198" i="24"/>
  <c r="M201" i="24" s="1"/>
  <c r="M202" i="24" s="1"/>
  <c r="L198" i="24"/>
  <c r="L201" i="24" s="1"/>
  <c r="L202" i="24" s="1"/>
  <c r="K198" i="24"/>
  <c r="K201" i="24" s="1"/>
  <c r="K202" i="24" s="1"/>
  <c r="J198" i="24"/>
  <c r="J201" i="24" s="1"/>
  <c r="J202" i="24" s="1"/>
  <c r="I198" i="24"/>
  <c r="H198" i="24"/>
  <c r="G198" i="24"/>
  <c r="G201" i="24" s="1"/>
  <c r="G202" i="24" s="1"/>
  <c r="F198" i="24"/>
  <c r="F201" i="24" s="1"/>
  <c r="F202" i="24" s="1"/>
  <c r="E198" i="24"/>
  <c r="E201" i="24" s="1"/>
  <c r="E202" i="24" s="1"/>
  <c r="D198" i="24"/>
  <c r="P197" i="24"/>
  <c r="P196" i="24"/>
  <c r="P195" i="24"/>
  <c r="P194" i="24"/>
  <c r="M190" i="24"/>
  <c r="M191" i="24" s="1"/>
  <c r="E190" i="24"/>
  <c r="E191" i="24" s="1"/>
  <c r="D190" i="24"/>
  <c r="P188" i="24"/>
  <c r="O187" i="24"/>
  <c r="O190" i="24" s="1"/>
  <c r="O191" i="24" s="1"/>
  <c r="N187" i="24"/>
  <c r="N190" i="24" s="1"/>
  <c r="N191" i="24" s="1"/>
  <c r="M187" i="24"/>
  <c r="L187" i="24"/>
  <c r="L190" i="24" s="1"/>
  <c r="L191" i="24" s="1"/>
  <c r="K187" i="24"/>
  <c r="K190" i="24" s="1"/>
  <c r="K191" i="24" s="1"/>
  <c r="J187" i="24"/>
  <c r="J190" i="24" s="1"/>
  <c r="J191" i="24" s="1"/>
  <c r="I187" i="24"/>
  <c r="I190" i="24" s="1"/>
  <c r="I191" i="24" s="1"/>
  <c r="H187" i="24"/>
  <c r="H190" i="24" s="1"/>
  <c r="H191" i="24" s="1"/>
  <c r="G187" i="24"/>
  <c r="G190" i="24" s="1"/>
  <c r="G191" i="24" s="1"/>
  <c r="F187" i="24"/>
  <c r="F190" i="24" s="1"/>
  <c r="F191" i="24" s="1"/>
  <c r="E187" i="24"/>
  <c r="D187" i="24"/>
  <c r="P186" i="24"/>
  <c r="P185" i="24"/>
  <c r="P184" i="24"/>
  <c r="P183" i="24"/>
  <c r="M180" i="24"/>
  <c r="L180" i="24"/>
  <c r="P178" i="24"/>
  <c r="E177" i="24"/>
  <c r="P177" i="24" s="1"/>
  <c r="O176" i="24"/>
  <c r="O179" i="24" s="1"/>
  <c r="O180" i="24" s="1"/>
  <c r="N176" i="24"/>
  <c r="N179" i="24" s="1"/>
  <c r="N180" i="24" s="1"/>
  <c r="M176" i="24"/>
  <c r="M179" i="24" s="1"/>
  <c r="L176" i="24"/>
  <c r="L179" i="24" s="1"/>
  <c r="K176" i="24"/>
  <c r="K179" i="24" s="1"/>
  <c r="K180" i="24" s="1"/>
  <c r="J176" i="24"/>
  <c r="J179" i="24" s="1"/>
  <c r="J180" i="24" s="1"/>
  <c r="I176" i="24"/>
  <c r="I179" i="24" s="1"/>
  <c r="I180" i="24" s="1"/>
  <c r="H176" i="24"/>
  <c r="H179" i="24" s="1"/>
  <c r="H180" i="24" s="1"/>
  <c r="G176" i="24"/>
  <c r="G179" i="24" s="1"/>
  <c r="G180" i="24" s="1"/>
  <c r="F176" i="24"/>
  <c r="F179" i="24" s="1"/>
  <c r="F180" i="24" s="1"/>
  <c r="E176" i="24"/>
  <c r="E179" i="24" s="1"/>
  <c r="D176" i="24"/>
  <c r="D179" i="24" s="1"/>
  <c r="D180" i="24" s="1"/>
  <c r="P175" i="24"/>
  <c r="P174" i="24"/>
  <c r="P173" i="24"/>
  <c r="P172" i="24"/>
  <c r="K169" i="24"/>
  <c r="N168" i="24"/>
  <c r="M168" i="24"/>
  <c r="F168" i="24"/>
  <c r="F169" i="24" s="1"/>
  <c r="E168" i="24"/>
  <c r="P167" i="24"/>
  <c r="O166" i="24"/>
  <c r="N166" i="24"/>
  <c r="L166" i="24"/>
  <c r="H166" i="24"/>
  <c r="E166" i="24"/>
  <c r="D166" i="24"/>
  <c r="O165" i="24"/>
  <c r="O168" i="24" s="1"/>
  <c r="O169" i="24" s="1"/>
  <c r="N165" i="24"/>
  <c r="M165" i="24"/>
  <c r="L165" i="24"/>
  <c r="L168" i="24" s="1"/>
  <c r="K165" i="24"/>
  <c r="J165" i="24"/>
  <c r="J168" i="24" s="1"/>
  <c r="J169" i="24" s="1"/>
  <c r="I165" i="24"/>
  <c r="I168" i="24" s="1"/>
  <c r="I169" i="24" s="1"/>
  <c r="H165" i="24"/>
  <c r="H168" i="24" s="1"/>
  <c r="G165" i="24"/>
  <c r="G168" i="24" s="1"/>
  <c r="F165" i="24"/>
  <c r="E165" i="24"/>
  <c r="D165" i="24"/>
  <c r="D168" i="24" s="1"/>
  <c r="P164" i="24"/>
  <c r="P163" i="24"/>
  <c r="P162" i="24"/>
  <c r="P161" i="24"/>
  <c r="K158" i="24"/>
  <c r="N157" i="24"/>
  <c r="N158" i="24" s="1"/>
  <c r="G157" i="24"/>
  <c r="F157" i="24"/>
  <c r="E157" i="24"/>
  <c r="P156" i="24"/>
  <c r="O155" i="24"/>
  <c r="K155" i="24"/>
  <c r="J155" i="24"/>
  <c r="H155" i="24"/>
  <c r="G155" i="24"/>
  <c r="F155" i="24"/>
  <c r="E155" i="24"/>
  <c r="D155" i="24"/>
  <c r="O154" i="24"/>
  <c r="O157" i="24" s="1"/>
  <c r="N154" i="24"/>
  <c r="M154" i="24"/>
  <c r="M157" i="24" s="1"/>
  <c r="M158" i="24" s="1"/>
  <c r="L154" i="24"/>
  <c r="L157" i="24" s="1"/>
  <c r="K154" i="24"/>
  <c r="J154" i="24"/>
  <c r="J157" i="24" s="1"/>
  <c r="J158" i="24" s="1"/>
  <c r="I154" i="24"/>
  <c r="I157" i="24" s="1"/>
  <c r="I158" i="24" s="1"/>
  <c r="H154" i="24"/>
  <c r="H157" i="24" s="1"/>
  <c r="G154" i="24"/>
  <c r="F154" i="24"/>
  <c r="E154" i="24"/>
  <c r="D154" i="24"/>
  <c r="P153" i="24"/>
  <c r="P152" i="24"/>
  <c r="P151" i="24"/>
  <c r="P150" i="24"/>
  <c r="K147" i="24"/>
  <c r="P145" i="24"/>
  <c r="E144" i="24"/>
  <c r="D144" i="24"/>
  <c r="P144" i="24" s="1"/>
  <c r="O143" i="24"/>
  <c r="O146" i="24" s="1"/>
  <c r="O147" i="24" s="1"/>
  <c r="N143" i="24"/>
  <c r="N146" i="24" s="1"/>
  <c r="M143" i="24"/>
  <c r="M146" i="24" s="1"/>
  <c r="L143" i="24"/>
  <c r="L146" i="24" s="1"/>
  <c r="K143" i="24"/>
  <c r="J143" i="24"/>
  <c r="J146" i="24" s="1"/>
  <c r="J147" i="24" s="1"/>
  <c r="I143" i="24"/>
  <c r="I146" i="24" s="1"/>
  <c r="I147" i="24" s="1"/>
  <c r="H143" i="24"/>
  <c r="H146" i="24" s="1"/>
  <c r="G143" i="24"/>
  <c r="G146" i="24" s="1"/>
  <c r="F143" i="24"/>
  <c r="E143" i="24"/>
  <c r="E146" i="24" s="1"/>
  <c r="D143" i="24"/>
  <c r="D146" i="24" s="1"/>
  <c r="P142" i="24"/>
  <c r="P141" i="24"/>
  <c r="P140" i="24"/>
  <c r="P139" i="24"/>
  <c r="O136" i="24"/>
  <c r="K136" i="24"/>
  <c r="F136" i="24"/>
  <c r="E136" i="24"/>
  <c r="L135" i="24"/>
  <c r="P134" i="24"/>
  <c r="N133" i="24"/>
  <c r="N136" i="24" s="1"/>
  <c r="I133" i="24"/>
  <c r="H133" i="24"/>
  <c r="G133" i="24"/>
  <c r="D133" i="24"/>
  <c r="O132" i="24"/>
  <c r="O135" i="24" s="1"/>
  <c r="O241" i="24" s="1"/>
  <c r="N132" i="24"/>
  <c r="N135" i="24" s="1"/>
  <c r="M132" i="24"/>
  <c r="M135" i="24" s="1"/>
  <c r="L132" i="24"/>
  <c r="K132" i="24"/>
  <c r="J132" i="24"/>
  <c r="J135" i="24" s="1"/>
  <c r="J136" i="24" s="1"/>
  <c r="I132" i="24"/>
  <c r="I135" i="24" s="1"/>
  <c r="I136" i="24" s="1"/>
  <c r="H132" i="24"/>
  <c r="H135" i="24" s="1"/>
  <c r="G132" i="24"/>
  <c r="G135" i="24" s="1"/>
  <c r="G136" i="24" s="1"/>
  <c r="F132" i="24"/>
  <c r="F135" i="24" s="1"/>
  <c r="E132" i="24"/>
  <c r="E135" i="24" s="1"/>
  <c r="D132" i="24"/>
  <c r="D135" i="24" s="1"/>
  <c r="P131" i="24"/>
  <c r="P130" i="24"/>
  <c r="P129" i="24"/>
  <c r="P128" i="24"/>
  <c r="K125" i="24"/>
  <c r="M124" i="24"/>
  <c r="M125" i="24" s="1"/>
  <c r="E124" i="24"/>
  <c r="P123" i="24"/>
  <c r="O122" i="24"/>
  <c r="N122" i="24"/>
  <c r="L122" i="24"/>
  <c r="H122" i="24"/>
  <c r="G122" i="24"/>
  <c r="E122" i="24"/>
  <c r="D122" i="24"/>
  <c r="O121" i="24"/>
  <c r="O124" i="24" s="1"/>
  <c r="N121" i="24"/>
  <c r="N124" i="24" s="1"/>
  <c r="M121" i="24"/>
  <c r="L121" i="24"/>
  <c r="L124" i="24" s="1"/>
  <c r="K121" i="24"/>
  <c r="J121" i="24"/>
  <c r="J124" i="24" s="1"/>
  <c r="J125" i="24" s="1"/>
  <c r="I121" i="24"/>
  <c r="I124" i="24" s="1"/>
  <c r="I125" i="24" s="1"/>
  <c r="H121" i="24"/>
  <c r="H124" i="24" s="1"/>
  <c r="H125" i="24" s="1"/>
  <c r="G121" i="24"/>
  <c r="G124" i="24" s="1"/>
  <c r="F121" i="24"/>
  <c r="F124" i="24" s="1"/>
  <c r="F125" i="24" s="1"/>
  <c r="E121" i="24"/>
  <c r="D121" i="24"/>
  <c r="D124" i="24" s="1"/>
  <c r="P120" i="24"/>
  <c r="P119" i="24"/>
  <c r="P118" i="24"/>
  <c r="P117" i="24"/>
  <c r="O114" i="24"/>
  <c r="K114" i="24"/>
  <c r="P112" i="24"/>
  <c r="O111" i="24"/>
  <c r="G111" i="24"/>
  <c r="G114" i="24" s="1"/>
  <c r="E111" i="24"/>
  <c r="D111" i="24"/>
  <c r="O110" i="24"/>
  <c r="O113" i="24" s="1"/>
  <c r="N110" i="24"/>
  <c r="N113" i="24" s="1"/>
  <c r="M110" i="24"/>
  <c r="M113" i="24" s="1"/>
  <c r="M239" i="24" s="1"/>
  <c r="L110" i="24"/>
  <c r="L113" i="24" s="1"/>
  <c r="K110" i="24"/>
  <c r="J110" i="24"/>
  <c r="J113" i="24" s="1"/>
  <c r="J114" i="24" s="1"/>
  <c r="I110" i="24"/>
  <c r="I113" i="24" s="1"/>
  <c r="I114" i="24" s="1"/>
  <c r="H110" i="24"/>
  <c r="H113" i="24" s="1"/>
  <c r="G110" i="24"/>
  <c r="G113" i="24" s="1"/>
  <c r="F110" i="24"/>
  <c r="F113" i="24" s="1"/>
  <c r="E110" i="24"/>
  <c r="E113" i="24" s="1"/>
  <c r="D110" i="24"/>
  <c r="P109" i="24"/>
  <c r="P108" i="24"/>
  <c r="P107" i="24"/>
  <c r="P106" i="24"/>
  <c r="K103" i="24"/>
  <c r="E102" i="24"/>
  <c r="P101" i="24"/>
  <c r="L100" i="24"/>
  <c r="G100" i="24"/>
  <c r="F100" i="24"/>
  <c r="E100" i="24"/>
  <c r="O99" i="24"/>
  <c r="O102" i="24" s="1"/>
  <c r="N99" i="24"/>
  <c r="N102" i="24" s="1"/>
  <c r="M99" i="24"/>
  <c r="M102" i="24" s="1"/>
  <c r="M238" i="24" s="1"/>
  <c r="L99" i="24"/>
  <c r="L102" i="24" s="1"/>
  <c r="K99" i="24"/>
  <c r="J99" i="24"/>
  <c r="J102" i="24" s="1"/>
  <c r="J103" i="24" s="1"/>
  <c r="I99" i="24"/>
  <c r="I102" i="24" s="1"/>
  <c r="I103" i="24" s="1"/>
  <c r="H99" i="24"/>
  <c r="H102" i="24" s="1"/>
  <c r="G99" i="24"/>
  <c r="G102" i="24" s="1"/>
  <c r="F99" i="24"/>
  <c r="F102" i="24" s="1"/>
  <c r="E99" i="24"/>
  <c r="D99" i="24"/>
  <c r="P98" i="24"/>
  <c r="P97" i="24"/>
  <c r="P96" i="24"/>
  <c r="P95" i="24"/>
  <c r="E92" i="24"/>
  <c r="I91" i="24"/>
  <c r="I92" i="24" s="1"/>
  <c r="P90" i="24"/>
  <c r="O89" i="24"/>
  <c r="N89" i="24"/>
  <c r="M89" i="24"/>
  <c r="L89" i="24"/>
  <c r="O88" i="24"/>
  <c r="O91" i="24" s="1"/>
  <c r="N88" i="24"/>
  <c r="N91" i="24" s="1"/>
  <c r="N237" i="24" s="1"/>
  <c r="M88" i="24"/>
  <c r="M91" i="24" s="1"/>
  <c r="L88" i="24"/>
  <c r="L91" i="24" s="1"/>
  <c r="I88" i="24"/>
  <c r="H88" i="24"/>
  <c r="H91" i="24" s="1"/>
  <c r="G88" i="24"/>
  <c r="G91" i="24" s="1"/>
  <c r="F88" i="24"/>
  <c r="F91" i="24" s="1"/>
  <c r="F92" i="24" s="1"/>
  <c r="E88" i="24"/>
  <c r="E91" i="24" s="1"/>
  <c r="D88" i="24"/>
  <c r="K87" i="24"/>
  <c r="J87" i="24"/>
  <c r="P86" i="24"/>
  <c r="K86" i="24"/>
  <c r="K88" i="24" s="1"/>
  <c r="K91" i="24" s="1"/>
  <c r="K92" i="24" s="1"/>
  <c r="J86" i="24"/>
  <c r="P85" i="24"/>
  <c r="P84" i="24"/>
  <c r="I81" i="24"/>
  <c r="D80" i="24"/>
  <c r="P79" i="24"/>
  <c r="O78" i="24"/>
  <c r="N78" i="24"/>
  <c r="M78" i="24"/>
  <c r="H78" i="24"/>
  <c r="G78" i="24"/>
  <c r="E78" i="24"/>
  <c r="O77" i="24"/>
  <c r="O80" i="24" s="1"/>
  <c r="N77" i="24"/>
  <c r="N80" i="24" s="1"/>
  <c r="N81" i="24" s="1"/>
  <c r="M77" i="24"/>
  <c r="M80" i="24" s="1"/>
  <c r="M81" i="24" s="1"/>
  <c r="M236" i="24" s="1"/>
  <c r="L77" i="24"/>
  <c r="L80" i="24" s="1"/>
  <c r="L81" i="24" s="1"/>
  <c r="L236" i="24" s="1"/>
  <c r="K77" i="24"/>
  <c r="K80" i="24" s="1"/>
  <c r="K81" i="24" s="1"/>
  <c r="J77" i="24"/>
  <c r="J80" i="24" s="1"/>
  <c r="J81" i="24" s="1"/>
  <c r="I77" i="24"/>
  <c r="I80" i="24" s="1"/>
  <c r="H77" i="24"/>
  <c r="H80" i="24" s="1"/>
  <c r="H81" i="24" s="1"/>
  <c r="H236" i="24" s="1"/>
  <c r="G77" i="24"/>
  <c r="G80" i="24" s="1"/>
  <c r="G81" i="24" s="1"/>
  <c r="F77" i="24"/>
  <c r="F80" i="24" s="1"/>
  <c r="F81" i="24" s="1"/>
  <c r="E77" i="24"/>
  <c r="E80" i="24" s="1"/>
  <c r="D77" i="24"/>
  <c r="P76" i="24"/>
  <c r="P75" i="24"/>
  <c r="P74" i="24"/>
  <c r="P73" i="24"/>
  <c r="J70" i="24"/>
  <c r="N69" i="24"/>
  <c r="N70" i="24" s="1"/>
  <c r="M69" i="24"/>
  <c r="P68" i="24"/>
  <c r="O67" i="24"/>
  <c r="M67" i="24"/>
  <c r="G67" i="24"/>
  <c r="F67" i="24"/>
  <c r="E67" i="24"/>
  <c r="O66" i="24"/>
  <c r="O69" i="24" s="1"/>
  <c r="N66" i="24"/>
  <c r="M66" i="24"/>
  <c r="L66" i="24"/>
  <c r="L69" i="24" s="1"/>
  <c r="K66" i="24"/>
  <c r="K69" i="24" s="1"/>
  <c r="K70" i="24" s="1"/>
  <c r="J66" i="24"/>
  <c r="I66" i="24"/>
  <c r="I69" i="24" s="1"/>
  <c r="I70" i="24" s="1"/>
  <c r="H66" i="24"/>
  <c r="H69" i="24" s="1"/>
  <c r="G66" i="24"/>
  <c r="G69" i="24" s="1"/>
  <c r="F66" i="24"/>
  <c r="F69" i="24" s="1"/>
  <c r="E66" i="24"/>
  <c r="E69" i="24" s="1"/>
  <c r="D66" i="24"/>
  <c r="P65" i="24"/>
  <c r="P64" i="24"/>
  <c r="P63" i="24"/>
  <c r="P62" i="24"/>
  <c r="P57" i="24"/>
  <c r="P56" i="24"/>
  <c r="O55" i="24"/>
  <c r="O58" i="24" s="1"/>
  <c r="O59" i="24" s="1"/>
  <c r="N55" i="24"/>
  <c r="N58" i="24" s="1"/>
  <c r="N59" i="24" s="1"/>
  <c r="N234" i="24" s="1"/>
  <c r="M55" i="24"/>
  <c r="M58" i="24" s="1"/>
  <c r="M59" i="24" s="1"/>
  <c r="L55" i="24"/>
  <c r="L58" i="24" s="1"/>
  <c r="L59" i="24" s="1"/>
  <c r="K55" i="24"/>
  <c r="K58" i="24" s="1"/>
  <c r="K59" i="24" s="1"/>
  <c r="J55" i="24"/>
  <c r="J58" i="24" s="1"/>
  <c r="J59" i="24" s="1"/>
  <c r="I55" i="24"/>
  <c r="I58" i="24" s="1"/>
  <c r="I59" i="24" s="1"/>
  <c r="H55" i="24"/>
  <c r="H58" i="24" s="1"/>
  <c r="H59" i="24" s="1"/>
  <c r="H234" i="24" s="1"/>
  <c r="G55" i="24"/>
  <c r="G58" i="24" s="1"/>
  <c r="G59" i="24" s="1"/>
  <c r="F55" i="24"/>
  <c r="F58" i="24" s="1"/>
  <c r="F59" i="24" s="1"/>
  <c r="F234" i="24" s="1"/>
  <c r="E55" i="24"/>
  <c r="E58" i="24" s="1"/>
  <c r="E59" i="24" s="1"/>
  <c r="D55" i="24"/>
  <c r="D58" i="24" s="1"/>
  <c r="D59" i="24" s="1"/>
  <c r="D234" i="24" s="1"/>
  <c r="P54" i="24"/>
  <c r="P53" i="24"/>
  <c r="P52" i="24"/>
  <c r="P51" i="24"/>
  <c r="P46" i="24"/>
  <c r="P45" i="24"/>
  <c r="O44" i="24"/>
  <c r="N44" i="24"/>
  <c r="M44" i="24"/>
  <c r="L44" i="24"/>
  <c r="K44" i="24"/>
  <c r="J44" i="24"/>
  <c r="I44" i="24"/>
  <c r="H44" i="24"/>
  <c r="G44" i="24"/>
  <c r="F44" i="24"/>
  <c r="E44" i="24"/>
  <c r="D44" i="24"/>
  <c r="P43" i="24"/>
  <c r="P42" i="24"/>
  <c r="P41" i="24"/>
  <c r="P40" i="24"/>
  <c r="J37" i="24"/>
  <c r="P35" i="24"/>
  <c r="P34" i="24"/>
  <c r="O33" i="24"/>
  <c r="N33" i="24"/>
  <c r="N36" i="24" s="1"/>
  <c r="M33" i="24"/>
  <c r="L33" i="24"/>
  <c r="K33" i="24"/>
  <c r="J33" i="24"/>
  <c r="I33" i="24"/>
  <c r="H33" i="24"/>
  <c r="G33" i="24"/>
  <c r="F33" i="24"/>
  <c r="F36" i="24" s="1"/>
  <c r="E33" i="24"/>
  <c r="D33" i="24"/>
  <c r="D36" i="24" s="1"/>
  <c r="D37" i="24" s="1"/>
  <c r="P32" i="24"/>
  <c r="P31" i="24"/>
  <c r="P30" i="24"/>
  <c r="P29" i="24"/>
  <c r="P24" i="24"/>
  <c r="P23" i="24"/>
  <c r="O22" i="24"/>
  <c r="N22" i="24"/>
  <c r="M22" i="24"/>
  <c r="L22" i="24"/>
  <c r="K22" i="24"/>
  <c r="J22" i="24"/>
  <c r="I22" i="24"/>
  <c r="K4" i="24" s="1"/>
  <c r="H22" i="24"/>
  <c r="G22" i="24"/>
  <c r="F22" i="24"/>
  <c r="E22" i="24"/>
  <c r="D22" i="24"/>
  <c r="P21" i="24"/>
  <c r="P20" i="24"/>
  <c r="P19" i="24"/>
  <c r="P18" i="24"/>
  <c r="P13" i="24"/>
  <c r="P12" i="24"/>
  <c r="O11" i="24"/>
  <c r="N11" i="24"/>
  <c r="M11" i="24"/>
  <c r="L11" i="24"/>
  <c r="K11" i="24"/>
  <c r="J11" i="24"/>
  <c r="I11" i="24"/>
  <c r="H11" i="24"/>
  <c r="G11" i="24"/>
  <c r="F11" i="24"/>
  <c r="E11" i="24"/>
  <c r="D11" i="24"/>
  <c r="P10" i="24"/>
  <c r="P9" i="24"/>
  <c r="P8" i="24"/>
  <c r="P7" i="24"/>
  <c r="F4" i="24"/>
  <c r="N3" i="24"/>
  <c r="H241" i="23"/>
  <c r="K212" i="23"/>
  <c r="P210" i="23"/>
  <c r="O209" i="23"/>
  <c r="O212" i="23" s="1"/>
  <c r="O213" i="23" s="1"/>
  <c r="N209" i="23"/>
  <c r="N212" i="23" s="1"/>
  <c r="N213" i="23" s="1"/>
  <c r="M209" i="23"/>
  <c r="M212" i="23" s="1"/>
  <c r="M213" i="23" s="1"/>
  <c r="L209" i="23"/>
  <c r="K209" i="23"/>
  <c r="J209" i="23"/>
  <c r="J212" i="23" s="1"/>
  <c r="J213" i="23" s="1"/>
  <c r="I209" i="23"/>
  <c r="I212" i="23" s="1"/>
  <c r="I213" i="23" s="1"/>
  <c r="H209" i="23"/>
  <c r="H212" i="23" s="1"/>
  <c r="H213" i="23" s="1"/>
  <c r="G209" i="23"/>
  <c r="F209" i="23"/>
  <c r="F212" i="23" s="1"/>
  <c r="F213" i="23" s="1"/>
  <c r="E209" i="23"/>
  <c r="E212" i="23" s="1"/>
  <c r="E213" i="23" s="1"/>
  <c r="D209" i="23"/>
  <c r="D212" i="23" s="1"/>
  <c r="P208" i="23"/>
  <c r="P207" i="23"/>
  <c r="P206" i="23"/>
  <c r="P205" i="23"/>
  <c r="F201" i="23"/>
  <c r="F202" i="23" s="1"/>
  <c r="P199" i="23"/>
  <c r="O198" i="23"/>
  <c r="O201" i="23" s="1"/>
  <c r="O202" i="23" s="1"/>
  <c r="N198" i="23"/>
  <c r="N201" i="23" s="1"/>
  <c r="N202" i="23" s="1"/>
  <c r="M198" i="23"/>
  <c r="M201" i="23" s="1"/>
  <c r="M202" i="23" s="1"/>
  <c r="L198" i="23"/>
  <c r="L201" i="23" s="1"/>
  <c r="L202" i="23" s="1"/>
  <c r="K198" i="23"/>
  <c r="K201" i="23" s="1"/>
  <c r="K202" i="23" s="1"/>
  <c r="J198" i="23"/>
  <c r="J201" i="23" s="1"/>
  <c r="J202" i="23" s="1"/>
  <c r="I198" i="23"/>
  <c r="I201" i="23" s="1"/>
  <c r="I202" i="23" s="1"/>
  <c r="H198" i="23"/>
  <c r="H201" i="23" s="1"/>
  <c r="H202" i="23" s="1"/>
  <c r="G198" i="23"/>
  <c r="G201" i="23" s="1"/>
  <c r="G202" i="23" s="1"/>
  <c r="F198" i="23"/>
  <c r="E198" i="23"/>
  <c r="E201" i="23" s="1"/>
  <c r="E202" i="23" s="1"/>
  <c r="D198" i="23"/>
  <c r="D201" i="23" s="1"/>
  <c r="P197" i="23"/>
  <c r="P196" i="23"/>
  <c r="P195" i="23"/>
  <c r="P194" i="23"/>
  <c r="L191" i="23"/>
  <c r="P188" i="23"/>
  <c r="O187" i="23"/>
  <c r="O190" i="23" s="1"/>
  <c r="O191" i="23" s="1"/>
  <c r="N187" i="23"/>
  <c r="N190" i="23" s="1"/>
  <c r="N191" i="23" s="1"/>
  <c r="M187" i="23"/>
  <c r="M190" i="23" s="1"/>
  <c r="M191" i="23" s="1"/>
  <c r="L187" i="23"/>
  <c r="L190" i="23" s="1"/>
  <c r="K187" i="23"/>
  <c r="K190" i="23" s="1"/>
  <c r="K191" i="23" s="1"/>
  <c r="J187" i="23"/>
  <c r="J190" i="23" s="1"/>
  <c r="J191" i="23" s="1"/>
  <c r="I187" i="23"/>
  <c r="I190" i="23" s="1"/>
  <c r="I191" i="23" s="1"/>
  <c r="H187" i="23"/>
  <c r="H190" i="23" s="1"/>
  <c r="H191" i="23" s="1"/>
  <c r="G187" i="23"/>
  <c r="G190" i="23" s="1"/>
  <c r="G191" i="23" s="1"/>
  <c r="F187" i="23"/>
  <c r="F190" i="23" s="1"/>
  <c r="F191" i="23" s="1"/>
  <c r="E187" i="23"/>
  <c r="E190" i="23" s="1"/>
  <c r="E191" i="23" s="1"/>
  <c r="D187" i="23"/>
  <c r="D190" i="23" s="1"/>
  <c r="D191" i="23" s="1"/>
  <c r="P186" i="23"/>
  <c r="P185" i="23"/>
  <c r="P184" i="23"/>
  <c r="P183" i="23"/>
  <c r="O180" i="23"/>
  <c r="P178" i="23"/>
  <c r="E177" i="23"/>
  <c r="P177" i="23" s="1"/>
  <c r="O176" i="23"/>
  <c r="O179" i="23" s="1"/>
  <c r="N176" i="23"/>
  <c r="N179" i="23" s="1"/>
  <c r="N180" i="23" s="1"/>
  <c r="M176" i="23"/>
  <c r="M179" i="23" s="1"/>
  <c r="M180" i="23" s="1"/>
  <c r="L176" i="23"/>
  <c r="L179" i="23" s="1"/>
  <c r="L180" i="23" s="1"/>
  <c r="K176" i="23"/>
  <c r="K179" i="23" s="1"/>
  <c r="K180" i="23" s="1"/>
  <c r="J176" i="23"/>
  <c r="J179" i="23" s="1"/>
  <c r="J180" i="23" s="1"/>
  <c r="I176" i="23"/>
  <c r="I179" i="23" s="1"/>
  <c r="I180" i="23" s="1"/>
  <c r="H176" i="23"/>
  <c r="H179" i="23" s="1"/>
  <c r="H180" i="23" s="1"/>
  <c r="G176" i="23"/>
  <c r="G179" i="23" s="1"/>
  <c r="G180" i="23" s="1"/>
  <c r="F176" i="23"/>
  <c r="F179" i="23" s="1"/>
  <c r="F180" i="23" s="1"/>
  <c r="E176" i="23"/>
  <c r="E179" i="23" s="1"/>
  <c r="E180" i="23" s="1"/>
  <c r="D176" i="23"/>
  <c r="P175" i="23"/>
  <c r="P174" i="23"/>
  <c r="P173" i="23"/>
  <c r="P172" i="23"/>
  <c r="J168" i="23"/>
  <c r="J169" i="23" s="1"/>
  <c r="P167" i="23"/>
  <c r="L166" i="23"/>
  <c r="H166" i="23"/>
  <c r="G166" i="23"/>
  <c r="E166" i="23"/>
  <c r="D166" i="23"/>
  <c r="P166" i="23" s="1"/>
  <c r="O165" i="23"/>
  <c r="O168" i="23" s="1"/>
  <c r="N165" i="23"/>
  <c r="N168" i="23" s="1"/>
  <c r="M165" i="23"/>
  <c r="M168" i="23" s="1"/>
  <c r="M169" i="23" s="1"/>
  <c r="L165" i="23"/>
  <c r="L168" i="23" s="1"/>
  <c r="K165" i="23"/>
  <c r="K168" i="23" s="1"/>
  <c r="K169" i="23" s="1"/>
  <c r="J165" i="23"/>
  <c r="I165" i="23"/>
  <c r="I168" i="23" s="1"/>
  <c r="I169" i="23" s="1"/>
  <c r="H165" i="23"/>
  <c r="H168" i="23" s="1"/>
  <c r="G165" i="23"/>
  <c r="G168" i="23" s="1"/>
  <c r="F165" i="23"/>
  <c r="F168" i="23" s="1"/>
  <c r="E165" i="23"/>
  <c r="E168" i="23" s="1"/>
  <c r="E169" i="23" s="1"/>
  <c r="D165" i="23"/>
  <c r="D168" i="23" s="1"/>
  <c r="P164" i="23"/>
  <c r="P163" i="23"/>
  <c r="P162" i="23"/>
  <c r="P161" i="23"/>
  <c r="O158" i="23"/>
  <c r="P156" i="23"/>
  <c r="O155" i="23"/>
  <c r="K155" i="23"/>
  <c r="J155" i="23"/>
  <c r="H155" i="23"/>
  <c r="G155" i="23"/>
  <c r="F155" i="23"/>
  <c r="E155" i="23"/>
  <c r="D155" i="23"/>
  <c r="O154" i="23"/>
  <c r="O157" i="23" s="1"/>
  <c r="N154" i="23"/>
  <c r="N157" i="23" s="1"/>
  <c r="M154" i="23"/>
  <c r="M157" i="23" s="1"/>
  <c r="L154" i="23"/>
  <c r="L157" i="23" s="1"/>
  <c r="K154" i="23"/>
  <c r="K157" i="23" s="1"/>
  <c r="K158" i="23" s="1"/>
  <c r="J154" i="23"/>
  <c r="J157" i="23" s="1"/>
  <c r="J158" i="23" s="1"/>
  <c r="I154" i="23"/>
  <c r="I157" i="23" s="1"/>
  <c r="I158" i="23" s="1"/>
  <c r="H154" i="23"/>
  <c r="H157" i="23" s="1"/>
  <c r="G154" i="23"/>
  <c r="G157" i="23" s="1"/>
  <c r="F154" i="23"/>
  <c r="F157" i="23" s="1"/>
  <c r="E154" i="23"/>
  <c r="E157" i="23" s="1"/>
  <c r="D154" i="23"/>
  <c r="D157" i="23" s="1"/>
  <c r="P153" i="23"/>
  <c r="P152" i="23"/>
  <c r="P151" i="23"/>
  <c r="P150" i="23"/>
  <c r="P145" i="23"/>
  <c r="E144" i="23"/>
  <c r="D144" i="23"/>
  <c r="P144" i="23" s="1"/>
  <c r="O143" i="23"/>
  <c r="O146" i="23" s="1"/>
  <c r="N143" i="23"/>
  <c r="N146" i="23" s="1"/>
  <c r="M143" i="23"/>
  <c r="M146" i="23" s="1"/>
  <c r="M147" i="23" s="1"/>
  <c r="L143" i="23"/>
  <c r="L146" i="23" s="1"/>
  <c r="K143" i="23"/>
  <c r="K146" i="23" s="1"/>
  <c r="K147" i="23" s="1"/>
  <c r="J143" i="23"/>
  <c r="J146" i="23" s="1"/>
  <c r="J147" i="23" s="1"/>
  <c r="I143" i="23"/>
  <c r="I146" i="23" s="1"/>
  <c r="I147" i="23" s="1"/>
  <c r="H143" i="23"/>
  <c r="H146" i="23" s="1"/>
  <c r="H147" i="23" s="1"/>
  <c r="G143" i="23"/>
  <c r="G146" i="23" s="1"/>
  <c r="G147" i="23" s="1"/>
  <c r="F143" i="23"/>
  <c r="F146" i="23" s="1"/>
  <c r="E143" i="23"/>
  <c r="E146" i="23" s="1"/>
  <c r="D143" i="23"/>
  <c r="P142" i="23"/>
  <c r="P141" i="23"/>
  <c r="P140" i="23"/>
  <c r="P139" i="23"/>
  <c r="P134" i="23"/>
  <c r="N133" i="23"/>
  <c r="P133" i="23" s="1"/>
  <c r="I133" i="23"/>
  <c r="H133" i="23"/>
  <c r="G133" i="23"/>
  <c r="D133" i="23"/>
  <c r="O132" i="23"/>
  <c r="O135" i="23" s="1"/>
  <c r="N132" i="23"/>
  <c r="N135" i="23" s="1"/>
  <c r="M132" i="23"/>
  <c r="M135" i="23" s="1"/>
  <c r="M136" i="23" s="1"/>
  <c r="L132" i="23"/>
  <c r="L135" i="23" s="1"/>
  <c r="L136" i="23" s="1"/>
  <c r="K132" i="23"/>
  <c r="K135" i="23" s="1"/>
  <c r="K136" i="23" s="1"/>
  <c r="J132" i="23"/>
  <c r="J135" i="23" s="1"/>
  <c r="J136" i="23" s="1"/>
  <c r="I132" i="23"/>
  <c r="I135" i="23" s="1"/>
  <c r="I136" i="23" s="1"/>
  <c r="H132" i="23"/>
  <c r="H135" i="23" s="1"/>
  <c r="G132" i="23"/>
  <c r="G135" i="23" s="1"/>
  <c r="F132" i="23"/>
  <c r="F135" i="23" s="1"/>
  <c r="E132" i="23"/>
  <c r="E135" i="23" s="1"/>
  <c r="D132" i="23"/>
  <c r="D135" i="23" s="1"/>
  <c r="D136" i="23" s="1"/>
  <c r="P131" i="23"/>
  <c r="P130" i="23"/>
  <c r="P129" i="23"/>
  <c r="P128" i="23"/>
  <c r="K124" i="23"/>
  <c r="K125" i="23" s="1"/>
  <c r="P123" i="23"/>
  <c r="O122" i="23"/>
  <c r="L122" i="23"/>
  <c r="H122" i="23"/>
  <c r="G122" i="23"/>
  <c r="E122" i="23"/>
  <c r="D122" i="23"/>
  <c r="P122" i="23" s="1"/>
  <c r="O121" i="23"/>
  <c r="O124" i="23" s="1"/>
  <c r="O125" i="23" s="1"/>
  <c r="N121" i="23"/>
  <c r="N124" i="23" s="1"/>
  <c r="N125" i="23" s="1"/>
  <c r="M121" i="23"/>
  <c r="M124" i="23" s="1"/>
  <c r="L121" i="23"/>
  <c r="L124" i="23" s="1"/>
  <c r="K121" i="23"/>
  <c r="J121" i="23"/>
  <c r="J124" i="23" s="1"/>
  <c r="J125" i="23" s="1"/>
  <c r="I121" i="23"/>
  <c r="I124" i="23" s="1"/>
  <c r="I125" i="23" s="1"/>
  <c r="H121" i="23"/>
  <c r="H124" i="23" s="1"/>
  <c r="G121" i="23"/>
  <c r="G124" i="23" s="1"/>
  <c r="F121" i="23"/>
  <c r="E121" i="23"/>
  <c r="E124" i="23" s="1"/>
  <c r="D121" i="23"/>
  <c r="D124" i="23" s="1"/>
  <c r="P120" i="23"/>
  <c r="P119" i="23"/>
  <c r="P118" i="23"/>
  <c r="P117" i="23"/>
  <c r="P112" i="23"/>
  <c r="O111" i="23"/>
  <c r="N111" i="23"/>
  <c r="G111" i="23"/>
  <c r="E111" i="23"/>
  <c r="D111" i="23"/>
  <c r="O110" i="23"/>
  <c r="O113" i="23" s="1"/>
  <c r="N110" i="23"/>
  <c r="N113" i="23" s="1"/>
  <c r="M110" i="23"/>
  <c r="M113" i="23" s="1"/>
  <c r="L110" i="23"/>
  <c r="L113" i="23" s="1"/>
  <c r="K110" i="23"/>
  <c r="K113" i="23" s="1"/>
  <c r="K114" i="23" s="1"/>
  <c r="J110" i="23"/>
  <c r="J113" i="23" s="1"/>
  <c r="J114" i="23" s="1"/>
  <c r="I110" i="23"/>
  <c r="I113" i="23" s="1"/>
  <c r="I114" i="23" s="1"/>
  <c r="H110" i="23"/>
  <c r="H113" i="23" s="1"/>
  <c r="G110" i="23"/>
  <c r="G113" i="23" s="1"/>
  <c r="F110" i="23"/>
  <c r="F113" i="23" s="1"/>
  <c r="E110" i="23"/>
  <c r="E113" i="23" s="1"/>
  <c r="D110" i="23"/>
  <c r="P109" i="23"/>
  <c r="P108" i="23"/>
  <c r="P107" i="23"/>
  <c r="P106" i="23"/>
  <c r="J102" i="23"/>
  <c r="J103" i="23" s="1"/>
  <c r="P101" i="23"/>
  <c r="L100" i="23"/>
  <c r="G100" i="23"/>
  <c r="F100" i="23"/>
  <c r="E100" i="23"/>
  <c r="O99" i="23"/>
  <c r="O102" i="23" s="1"/>
  <c r="N99" i="23"/>
  <c r="N102" i="23" s="1"/>
  <c r="M99" i="23"/>
  <c r="M102" i="23" s="1"/>
  <c r="M103" i="23" s="1"/>
  <c r="L99" i="23"/>
  <c r="L102" i="23" s="1"/>
  <c r="K99" i="23"/>
  <c r="K102" i="23" s="1"/>
  <c r="K103" i="23" s="1"/>
  <c r="J99" i="23"/>
  <c r="I99" i="23"/>
  <c r="I102" i="23" s="1"/>
  <c r="I103" i="23" s="1"/>
  <c r="H99" i="23"/>
  <c r="H102" i="23" s="1"/>
  <c r="G99" i="23"/>
  <c r="G102" i="23" s="1"/>
  <c r="F99" i="23"/>
  <c r="F102" i="23" s="1"/>
  <c r="E99" i="23"/>
  <c r="E102" i="23" s="1"/>
  <c r="D99" i="23"/>
  <c r="P98" i="23"/>
  <c r="P97" i="23"/>
  <c r="P96" i="23"/>
  <c r="P95" i="23"/>
  <c r="L91" i="23"/>
  <c r="P90" i="23"/>
  <c r="O89" i="23"/>
  <c r="N89" i="23"/>
  <c r="M89" i="23"/>
  <c r="L89" i="23"/>
  <c r="P89" i="23" s="1"/>
  <c r="O88" i="23"/>
  <c r="O91" i="23" s="1"/>
  <c r="N88" i="23"/>
  <c r="N91" i="23" s="1"/>
  <c r="M88" i="23"/>
  <c r="M91" i="23" s="1"/>
  <c r="M92" i="23" s="1"/>
  <c r="L88" i="23"/>
  <c r="H88" i="23"/>
  <c r="H91" i="23" s="1"/>
  <c r="G88" i="23"/>
  <c r="G91" i="23" s="1"/>
  <c r="F88" i="23"/>
  <c r="F91" i="23" s="1"/>
  <c r="E88" i="23"/>
  <c r="D88" i="23"/>
  <c r="D91" i="23" s="1"/>
  <c r="K87" i="23"/>
  <c r="J87" i="23"/>
  <c r="P87" i="23" s="1"/>
  <c r="K86" i="23"/>
  <c r="J86" i="23"/>
  <c r="I86" i="23"/>
  <c r="P85" i="23"/>
  <c r="P84" i="23"/>
  <c r="P79" i="23"/>
  <c r="O78" i="23"/>
  <c r="N78" i="23"/>
  <c r="M78" i="23"/>
  <c r="H78" i="23"/>
  <c r="G78" i="23"/>
  <c r="E78" i="23"/>
  <c r="O77" i="23"/>
  <c r="O80" i="23" s="1"/>
  <c r="N77" i="23"/>
  <c r="N80" i="23" s="1"/>
  <c r="M77" i="23"/>
  <c r="M80" i="23" s="1"/>
  <c r="L77" i="23"/>
  <c r="L80" i="23" s="1"/>
  <c r="L81" i="23" s="1"/>
  <c r="K77" i="23"/>
  <c r="K80" i="23" s="1"/>
  <c r="K81" i="23" s="1"/>
  <c r="J77" i="23"/>
  <c r="J80" i="23" s="1"/>
  <c r="J81" i="23" s="1"/>
  <c r="I77" i="23"/>
  <c r="I80" i="23" s="1"/>
  <c r="I81" i="23" s="1"/>
  <c r="H77" i="23"/>
  <c r="H80" i="23" s="1"/>
  <c r="G77" i="23"/>
  <c r="G80" i="23" s="1"/>
  <c r="F77" i="23"/>
  <c r="F80" i="23" s="1"/>
  <c r="E77" i="23"/>
  <c r="D77" i="23"/>
  <c r="D80" i="23" s="1"/>
  <c r="P76" i="23"/>
  <c r="P75" i="23"/>
  <c r="P74" i="23"/>
  <c r="P73" i="23"/>
  <c r="J70" i="23"/>
  <c r="K69" i="23"/>
  <c r="K70" i="23" s="1"/>
  <c r="P68" i="23"/>
  <c r="O67" i="23"/>
  <c r="G67" i="23"/>
  <c r="F67" i="23"/>
  <c r="P67" i="23" s="1"/>
  <c r="E67" i="23"/>
  <c r="O66" i="23"/>
  <c r="O69" i="23" s="1"/>
  <c r="O70" i="23" s="1"/>
  <c r="N66" i="23"/>
  <c r="N69" i="23" s="1"/>
  <c r="M66" i="23"/>
  <c r="M69" i="23" s="1"/>
  <c r="L66" i="23"/>
  <c r="L69" i="23" s="1"/>
  <c r="K66" i="23"/>
  <c r="J66" i="23"/>
  <c r="I66" i="23"/>
  <c r="I69" i="23" s="1"/>
  <c r="I70" i="23" s="1"/>
  <c r="H66" i="23"/>
  <c r="H69" i="23" s="1"/>
  <c r="G66" i="23"/>
  <c r="G69" i="23" s="1"/>
  <c r="F66" i="23"/>
  <c r="F69" i="23" s="1"/>
  <c r="E66" i="23"/>
  <c r="D66" i="23"/>
  <c r="D69" i="23" s="1"/>
  <c r="P65" i="23"/>
  <c r="P64" i="23"/>
  <c r="P63" i="23"/>
  <c r="P62" i="23"/>
  <c r="N59" i="23"/>
  <c r="N233" i="23" s="1"/>
  <c r="F58" i="23"/>
  <c r="F59" i="23" s="1"/>
  <c r="F233" i="23" s="1"/>
  <c r="P57" i="23"/>
  <c r="P56" i="23"/>
  <c r="O55" i="23"/>
  <c r="O58" i="23" s="1"/>
  <c r="O59" i="23" s="1"/>
  <c r="O233" i="23" s="1"/>
  <c r="N55" i="23"/>
  <c r="N58" i="23" s="1"/>
  <c r="M55" i="23"/>
  <c r="M58" i="23" s="1"/>
  <c r="M59" i="23" s="1"/>
  <c r="L55" i="23"/>
  <c r="L58" i="23" s="1"/>
  <c r="L59" i="23" s="1"/>
  <c r="L233" i="23" s="1"/>
  <c r="K55" i="23"/>
  <c r="K58" i="23" s="1"/>
  <c r="K59" i="23" s="1"/>
  <c r="J55" i="23"/>
  <c r="J58" i="23" s="1"/>
  <c r="J59" i="23" s="1"/>
  <c r="I55" i="23"/>
  <c r="I58" i="23" s="1"/>
  <c r="I59" i="23" s="1"/>
  <c r="H55" i="23"/>
  <c r="H58" i="23" s="1"/>
  <c r="H59" i="23" s="1"/>
  <c r="G55" i="23"/>
  <c r="G58" i="23" s="1"/>
  <c r="G59" i="23" s="1"/>
  <c r="G233" i="23" s="1"/>
  <c r="F55" i="23"/>
  <c r="E55" i="23"/>
  <c r="E58" i="23" s="1"/>
  <c r="E59" i="23" s="1"/>
  <c r="D55" i="23"/>
  <c r="P54" i="23"/>
  <c r="P53" i="23"/>
  <c r="P52" i="23"/>
  <c r="P51" i="23"/>
  <c r="J48" i="23"/>
  <c r="P46" i="23"/>
  <c r="P45" i="23"/>
  <c r="O44" i="23"/>
  <c r="N44" i="23"/>
  <c r="M44" i="23"/>
  <c r="L44" i="23"/>
  <c r="K44" i="23"/>
  <c r="J44" i="23"/>
  <c r="I44" i="23"/>
  <c r="H44" i="23"/>
  <c r="G44" i="23"/>
  <c r="F44" i="23"/>
  <c r="E44" i="23"/>
  <c r="D44" i="23"/>
  <c r="P43" i="23"/>
  <c r="P42" i="23"/>
  <c r="P41" i="23"/>
  <c r="P40" i="23"/>
  <c r="K37" i="23"/>
  <c r="J37" i="23"/>
  <c r="P35" i="23"/>
  <c r="P34" i="23"/>
  <c r="O33" i="23"/>
  <c r="N33" i="23"/>
  <c r="M33" i="23"/>
  <c r="L33" i="23"/>
  <c r="K33" i="23"/>
  <c r="J33" i="23"/>
  <c r="I33" i="23"/>
  <c r="H33" i="23"/>
  <c r="H36" i="23" s="1"/>
  <c r="H231" i="23" s="1"/>
  <c r="G33" i="23"/>
  <c r="G36" i="23" s="1"/>
  <c r="F33" i="23"/>
  <c r="F36" i="23" s="1"/>
  <c r="E33" i="23"/>
  <c r="D33" i="23"/>
  <c r="P32" i="23"/>
  <c r="P31" i="23"/>
  <c r="P30" i="23"/>
  <c r="P29" i="23"/>
  <c r="P24" i="23"/>
  <c r="P23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P21" i="23"/>
  <c r="P20" i="23"/>
  <c r="P19" i="23"/>
  <c r="P18" i="23"/>
  <c r="P13" i="23"/>
  <c r="P12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P10" i="23"/>
  <c r="P9" i="23"/>
  <c r="P8" i="23"/>
  <c r="P7" i="23"/>
  <c r="F4" i="23"/>
  <c r="N3" i="23"/>
  <c r="L36" i="23" s="1"/>
  <c r="D40" i="22"/>
  <c r="D39" i="22"/>
  <c r="L30" i="22"/>
  <c r="I30" i="22"/>
  <c r="I28" i="22"/>
  <c r="L27" i="22"/>
  <c r="I27" i="22"/>
  <c r="L26" i="22"/>
  <c r="O22" i="22"/>
  <c r="N22" i="22"/>
  <c r="M22" i="22"/>
  <c r="L22" i="22"/>
  <c r="K22" i="22"/>
  <c r="J22" i="22"/>
  <c r="I22" i="22"/>
  <c r="H22" i="22"/>
  <c r="G22" i="22"/>
  <c r="F22" i="22"/>
  <c r="E22" i="22"/>
  <c r="D22" i="22"/>
  <c r="L17" i="22"/>
  <c r="L32" i="22" s="1"/>
  <c r="I17" i="22"/>
  <c r="M16" i="22"/>
  <c r="M29" i="22" s="1"/>
  <c r="M33" i="22" s="1"/>
  <c r="K16" i="22"/>
  <c r="K26" i="22" s="1"/>
  <c r="J16" i="22"/>
  <c r="J17" i="22" s="1"/>
  <c r="P15" i="22"/>
  <c r="P14" i="22"/>
  <c r="R14" i="22" s="1"/>
  <c r="U13" i="22"/>
  <c r="P13" i="22"/>
  <c r="P12" i="22"/>
  <c r="V11" i="22"/>
  <c r="O11" i="22"/>
  <c r="T11" i="22" s="1"/>
  <c r="N11" i="22"/>
  <c r="N20" i="22" s="1"/>
  <c r="M11" i="22"/>
  <c r="M20" i="22" s="1"/>
  <c r="L11" i="22"/>
  <c r="L20" i="22" s="1"/>
  <c r="K11" i="22"/>
  <c r="O3" i="22" s="1"/>
  <c r="J11" i="22"/>
  <c r="J20" i="22" s="1"/>
  <c r="I11" i="22"/>
  <c r="I20" i="22" s="1"/>
  <c r="H11" i="22"/>
  <c r="H20" i="22" s="1"/>
  <c r="G11" i="22"/>
  <c r="G20" i="22" s="1"/>
  <c r="F11" i="22"/>
  <c r="F20" i="22" s="1"/>
  <c r="E11" i="22"/>
  <c r="E20" i="22" s="1"/>
  <c r="D11" i="22"/>
  <c r="P10" i="22"/>
  <c r="P20" i="22" s="1"/>
  <c r="P9" i="22"/>
  <c r="P8" i="22"/>
  <c r="P7" i="22"/>
  <c r="F4" i="22"/>
  <c r="I29" i="22" s="1"/>
  <c r="I33" i="22" s="1"/>
  <c r="D41" i="21"/>
  <c r="D42" i="21" s="1"/>
  <c r="D40" i="21"/>
  <c r="J32" i="21"/>
  <c r="J29" i="21"/>
  <c r="D24" i="21"/>
  <c r="O22" i="21"/>
  <c r="N22" i="21"/>
  <c r="M22" i="21"/>
  <c r="L22" i="21"/>
  <c r="K22" i="21"/>
  <c r="J22" i="21"/>
  <c r="I22" i="21"/>
  <c r="H22" i="21"/>
  <c r="G22" i="21"/>
  <c r="F22" i="21"/>
  <c r="E22" i="21"/>
  <c r="D22" i="21"/>
  <c r="O20" i="21"/>
  <c r="N20" i="21"/>
  <c r="G20" i="21"/>
  <c r="J17" i="21"/>
  <c r="J34" i="21" s="1"/>
  <c r="P15" i="21"/>
  <c r="P14" i="21"/>
  <c r="R14" i="21" s="1"/>
  <c r="T13" i="21"/>
  <c r="P13" i="21"/>
  <c r="R15" i="21" s="1"/>
  <c r="T12" i="21"/>
  <c r="P12" i="21"/>
  <c r="O11" i="21"/>
  <c r="O16" i="21" s="1"/>
  <c r="N11" i="21"/>
  <c r="N16" i="21" s="1"/>
  <c r="M11" i="21"/>
  <c r="M20" i="21" s="1"/>
  <c r="L11" i="21"/>
  <c r="L20" i="21" s="1"/>
  <c r="K11" i="21"/>
  <c r="J11" i="21"/>
  <c r="J27" i="21" s="1"/>
  <c r="I11" i="21"/>
  <c r="H11" i="21"/>
  <c r="G11" i="21"/>
  <c r="G24" i="21" s="1"/>
  <c r="F11" i="21"/>
  <c r="F16" i="21" s="1"/>
  <c r="E11" i="21"/>
  <c r="E20" i="21" s="1"/>
  <c r="D11" i="21"/>
  <c r="D21" i="21" s="1"/>
  <c r="T10" i="21"/>
  <c r="P10" i="21"/>
  <c r="P20" i="21" s="1"/>
  <c r="T9" i="21"/>
  <c r="P9" i="21"/>
  <c r="P8" i="21"/>
  <c r="P7" i="21"/>
  <c r="F4" i="21"/>
  <c r="J31" i="21" s="1"/>
  <c r="J35" i="21" s="1"/>
  <c r="K42" i="20"/>
  <c r="D42" i="20"/>
  <c r="D41" i="20"/>
  <c r="N40" i="20" s="1"/>
  <c r="K40" i="20"/>
  <c r="K41" i="20" s="1"/>
  <c r="H32" i="20"/>
  <c r="H29" i="20"/>
  <c r="H28" i="20"/>
  <c r="E22" i="20"/>
  <c r="D22" i="20"/>
  <c r="G20" i="20"/>
  <c r="H17" i="20"/>
  <c r="H34" i="20" s="1"/>
  <c r="L16" i="20"/>
  <c r="L29" i="20" s="1"/>
  <c r="K16" i="20"/>
  <c r="K31" i="20" s="1"/>
  <c r="K35" i="20" s="1"/>
  <c r="J16" i="20"/>
  <c r="I16" i="20"/>
  <c r="P15" i="20"/>
  <c r="P14" i="20"/>
  <c r="T13" i="20"/>
  <c r="U13" i="20" s="1"/>
  <c r="W13" i="20" s="1"/>
  <c r="P13" i="20"/>
  <c r="F12" i="20"/>
  <c r="O22" i="20" s="1"/>
  <c r="O11" i="20"/>
  <c r="O24" i="20" s="1"/>
  <c r="N11" i="20"/>
  <c r="N20" i="20" s="1"/>
  <c r="M11" i="20"/>
  <c r="L11" i="20"/>
  <c r="L24" i="20" s="1"/>
  <c r="K11" i="20"/>
  <c r="K24" i="20" s="1"/>
  <c r="J11" i="20"/>
  <c r="J24" i="20" s="1"/>
  <c r="I11" i="20"/>
  <c r="I24" i="20" s="1"/>
  <c r="H11" i="20"/>
  <c r="G11" i="20"/>
  <c r="G16" i="20" s="1"/>
  <c r="E11" i="20"/>
  <c r="D11" i="20"/>
  <c r="D21" i="20" s="1"/>
  <c r="F10" i="20"/>
  <c r="T10" i="20" s="1"/>
  <c r="F9" i="20"/>
  <c r="T9" i="20" s="1"/>
  <c r="U9" i="20" s="1"/>
  <c r="W9" i="20" s="1"/>
  <c r="P8" i="20"/>
  <c r="P7" i="20"/>
  <c r="F4" i="20"/>
  <c r="H31" i="20" s="1"/>
  <c r="H35" i="20" s="1"/>
  <c r="D41" i="19"/>
  <c r="D42" i="19" s="1"/>
  <c r="N40" i="19"/>
  <c r="K40" i="19"/>
  <c r="J33" i="19"/>
  <c r="K32" i="19"/>
  <c r="J32" i="19"/>
  <c r="K29" i="19"/>
  <c r="J29" i="19"/>
  <c r="K28" i="19"/>
  <c r="O22" i="19"/>
  <c r="N22" i="19"/>
  <c r="M22" i="19"/>
  <c r="L22" i="19"/>
  <c r="K22" i="19"/>
  <c r="J22" i="19"/>
  <c r="I22" i="19"/>
  <c r="H22" i="19"/>
  <c r="G22" i="19"/>
  <c r="F22" i="19"/>
  <c r="E22" i="19"/>
  <c r="D22" i="19"/>
  <c r="E21" i="19"/>
  <c r="G20" i="19"/>
  <c r="D20" i="19"/>
  <c r="I19" i="19"/>
  <c r="K17" i="19"/>
  <c r="J17" i="19"/>
  <c r="J34" i="19" s="1"/>
  <c r="M16" i="19"/>
  <c r="L16" i="19"/>
  <c r="L28" i="19" s="1"/>
  <c r="I16" i="19"/>
  <c r="P15" i="19"/>
  <c r="L15" i="19"/>
  <c r="P14" i="19"/>
  <c r="P13" i="19"/>
  <c r="R13" i="19" s="1"/>
  <c r="P12" i="19"/>
  <c r="O11" i="19"/>
  <c r="O20" i="19" s="1"/>
  <c r="N11" i="19"/>
  <c r="N24" i="19" s="1"/>
  <c r="M11" i="19"/>
  <c r="M24" i="19" s="1"/>
  <c r="L11" i="19"/>
  <c r="L24" i="19" s="1"/>
  <c r="K11" i="19"/>
  <c r="K24" i="19" s="1"/>
  <c r="J11" i="19"/>
  <c r="J24" i="19" s="1"/>
  <c r="I11" i="19"/>
  <c r="O3" i="19" s="1"/>
  <c r="H11" i="19"/>
  <c r="G11" i="19"/>
  <c r="G16" i="19" s="1"/>
  <c r="G32" i="19" s="1"/>
  <c r="F11" i="19"/>
  <c r="F24" i="19" s="1"/>
  <c r="E11" i="19"/>
  <c r="E24" i="19" s="1"/>
  <c r="D11" i="19"/>
  <c r="D21" i="19" s="1"/>
  <c r="P10" i="19"/>
  <c r="P20" i="19" s="1"/>
  <c r="P9" i="19"/>
  <c r="P8" i="19"/>
  <c r="P7" i="19"/>
  <c r="F4" i="19"/>
  <c r="D41" i="18"/>
  <c r="K40" i="18"/>
  <c r="K41" i="18" s="1"/>
  <c r="K32" i="18"/>
  <c r="J32" i="18"/>
  <c r="H32" i="18"/>
  <c r="K29" i="18"/>
  <c r="J29" i="18"/>
  <c r="N28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I19" i="18"/>
  <c r="K17" i="18"/>
  <c r="K34" i="18" s="1"/>
  <c r="J17" i="18"/>
  <c r="J34" i="18" s="1"/>
  <c r="G17" i="18"/>
  <c r="G33" i="18" s="1"/>
  <c r="O16" i="18"/>
  <c r="O27" i="18" s="1"/>
  <c r="N16" i="18"/>
  <c r="N32" i="18" s="1"/>
  <c r="M16" i="18"/>
  <c r="L16" i="18"/>
  <c r="I16" i="18"/>
  <c r="I29" i="18" s="1"/>
  <c r="H16" i="18"/>
  <c r="H28" i="18" s="1"/>
  <c r="G16" i="18"/>
  <c r="G28" i="18" s="1"/>
  <c r="F16" i="18"/>
  <c r="M15" i="18"/>
  <c r="P15" i="18" s="1"/>
  <c r="T15" i="18" s="1"/>
  <c r="P14" i="18"/>
  <c r="P13" i="18"/>
  <c r="X12" i="18"/>
  <c r="P12" i="18"/>
  <c r="T12" i="18" s="1"/>
  <c r="O11" i="18"/>
  <c r="N11" i="18"/>
  <c r="N24" i="18" s="1"/>
  <c r="M11" i="18"/>
  <c r="M24" i="18" s="1"/>
  <c r="L11" i="18"/>
  <c r="L24" i="18" s="1"/>
  <c r="K11" i="18"/>
  <c r="K27" i="18" s="1"/>
  <c r="J11" i="18"/>
  <c r="J27" i="18" s="1"/>
  <c r="I11" i="18"/>
  <c r="H11" i="18"/>
  <c r="H27" i="18" s="1"/>
  <c r="G11" i="18"/>
  <c r="G20" i="18" s="1"/>
  <c r="F11" i="18"/>
  <c r="F24" i="18" s="1"/>
  <c r="E11" i="18"/>
  <c r="E24" i="18" s="1"/>
  <c r="D11" i="18"/>
  <c r="E21" i="18" s="1"/>
  <c r="P10" i="18"/>
  <c r="P20" i="18" s="1"/>
  <c r="P9" i="18"/>
  <c r="T9" i="18" s="1"/>
  <c r="P8" i="18"/>
  <c r="P7" i="18"/>
  <c r="F4" i="18"/>
  <c r="K31" i="18" s="1"/>
  <c r="D41" i="17"/>
  <c r="D42" i="17" s="1"/>
  <c r="N40" i="17"/>
  <c r="K40" i="17"/>
  <c r="K42" i="17" s="1"/>
  <c r="G32" i="17"/>
  <c r="E22" i="17"/>
  <c r="D22" i="17"/>
  <c r="E17" i="17"/>
  <c r="O16" i="17"/>
  <c r="O28" i="17" s="1"/>
  <c r="N16" i="17"/>
  <c r="N28" i="17" s="1"/>
  <c r="M16" i="17"/>
  <c r="M32" i="17" s="1"/>
  <c r="L16" i="17"/>
  <c r="K16" i="17"/>
  <c r="I16" i="17"/>
  <c r="H16" i="17"/>
  <c r="G16" i="17"/>
  <c r="E16" i="17"/>
  <c r="E32" i="17" s="1"/>
  <c r="D16" i="17"/>
  <c r="J15" i="17"/>
  <c r="I15" i="17"/>
  <c r="D15" i="17"/>
  <c r="P15" i="17" s="1"/>
  <c r="T15" i="17" s="1"/>
  <c r="T14" i="17"/>
  <c r="P14" i="17"/>
  <c r="T13" i="17"/>
  <c r="P13" i="17"/>
  <c r="J12" i="17"/>
  <c r="J16" i="17" s="1"/>
  <c r="F12" i="17"/>
  <c r="G22" i="17" s="1"/>
  <c r="O11" i="17"/>
  <c r="O20" i="17" s="1"/>
  <c r="N11" i="17"/>
  <c r="M11" i="17"/>
  <c r="L11" i="17"/>
  <c r="K11" i="17"/>
  <c r="H11" i="17"/>
  <c r="H24" i="17" s="1"/>
  <c r="G11" i="17"/>
  <c r="G20" i="17" s="1"/>
  <c r="F11" i="17"/>
  <c r="E11" i="17"/>
  <c r="D11" i="17"/>
  <c r="J10" i="17"/>
  <c r="J11" i="17" s="1"/>
  <c r="I10" i="17"/>
  <c r="J9" i="17"/>
  <c r="I9" i="17"/>
  <c r="P9" i="17" s="1"/>
  <c r="T8" i="17"/>
  <c r="P8" i="17"/>
  <c r="P7" i="17"/>
  <c r="F4" i="17"/>
  <c r="S2" i="17"/>
  <c r="D41" i="16"/>
  <c r="D42" i="16" s="1"/>
  <c r="K40" i="16"/>
  <c r="J32" i="16"/>
  <c r="I32" i="16"/>
  <c r="J29" i="16"/>
  <c r="I29" i="16"/>
  <c r="K24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K20" i="16"/>
  <c r="M17" i="16"/>
  <c r="J17" i="16"/>
  <c r="J34" i="16" s="1"/>
  <c r="O16" i="16"/>
  <c r="O32" i="16" s="1"/>
  <c r="N16" i="16"/>
  <c r="M16" i="16"/>
  <c r="L16" i="16"/>
  <c r="L28" i="16" s="1"/>
  <c r="K16" i="16"/>
  <c r="I16" i="16"/>
  <c r="H16" i="16"/>
  <c r="H28" i="16" s="1"/>
  <c r="G16" i="16"/>
  <c r="G28" i="16" s="1"/>
  <c r="F16" i="16"/>
  <c r="E16" i="16"/>
  <c r="D16" i="16"/>
  <c r="T15" i="16"/>
  <c r="P15" i="16"/>
  <c r="M15" i="16"/>
  <c r="P14" i="16"/>
  <c r="P13" i="16"/>
  <c r="T12" i="16"/>
  <c r="P12" i="16"/>
  <c r="R11" i="16"/>
  <c r="O11" i="16"/>
  <c r="O24" i="16" s="1"/>
  <c r="N11" i="16"/>
  <c r="N24" i="16" s="1"/>
  <c r="M11" i="16"/>
  <c r="M24" i="16" s="1"/>
  <c r="L11" i="16"/>
  <c r="L24" i="16" s="1"/>
  <c r="J11" i="16"/>
  <c r="J27" i="16" s="1"/>
  <c r="I11" i="16"/>
  <c r="O3" i="16" s="1"/>
  <c r="H11" i="16"/>
  <c r="H20" i="16" s="1"/>
  <c r="G11" i="16"/>
  <c r="F11" i="16"/>
  <c r="E11" i="16"/>
  <c r="E24" i="16" s="1"/>
  <c r="D11" i="16"/>
  <c r="E21" i="16" s="1"/>
  <c r="R10" i="16"/>
  <c r="X9" i="16"/>
  <c r="K9" i="16"/>
  <c r="K10" i="16" s="1"/>
  <c r="P10" i="16" s="1"/>
  <c r="T8" i="16"/>
  <c r="P8" i="16"/>
  <c r="P7" i="16"/>
  <c r="F4" i="16"/>
  <c r="J33" i="16" s="1"/>
  <c r="S2" i="16"/>
  <c r="D41" i="15"/>
  <c r="D42" i="15" s="1"/>
  <c r="N40" i="15"/>
  <c r="K40" i="15"/>
  <c r="K32" i="15"/>
  <c r="N16" i="15"/>
  <c r="M16" i="15"/>
  <c r="M28" i="15" s="1"/>
  <c r="L16" i="15"/>
  <c r="L28" i="15" s="1"/>
  <c r="K16" i="15"/>
  <c r="K17" i="15" s="1"/>
  <c r="K30" i="15" s="1"/>
  <c r="I16" i="15"/>
  <c r="I29" i="15" s="1"/>
  <c r="F16" i="15"/>
  <c r="E16" i="15"/>
  <c r="P15" i="15"/>
  <c r="P14" i="15"/>
  <c r="P13" i="15"/>
  <c r="O12" i="15"/>
  <c r="O16" i="15" s="1"/>
  <c r="N12" i="15"/>
  <c r="J12" i="15"/>
  <c r="J16" i="15" s="1"/>
  <c r="H12" i="15"/>
  <c r="H16" i="15" s="1"/>
  <c r="H31" i="15" s="1"/>
  <c r="H35" i="15" s="1"/>
  <c r="G12" i="15"/>
  <c r="G16" i="15" s="1"/>
  <c r="F12" i="15"/>
  <c r="D12" i="15"/>
  <c r="O11" i="15"/>
  <c r="O24" i="15" s="1"/>
  <c r="N11" i="15"/>
  <c r="N24" i="15" s="1"/>
  <c r="M11" i="15"/>
  <c r="M24" i="15" s="1"/>
  <c r="L11" i="15"/>
  <c r="L24" i="15" s="1"/>
  <c r="K11" i="15"/>
  <c r="J11" i="15"/>
  <c r="J20" i="15" s="1"/>
  <c r="I11" i="15"/>
  <c r="I27" i="15" s="1"/>
  <c r="H11" i="15"/>
  <c r="H24" i="15" s="1"/>
  <c r="G11" i="15"/>
  <c r="F11" i="15"/>
  <c r="F24" i="15" s="1"/>
  <c r="E11" i="15"/>
  <c r="E24" i="15" s="1"/>
  <c r="D11" i="15"/>
  <c r="F21" i="15" s="1"/>
  <c r="P10" i="15"/>
  <c r="R9" i="15"/>
  <c r="P9" i="15"/>
  <c r="P8" i="15"/>
  <c r="P7" i="15"/>
  <c r="F4" i="15"/>
  <c r="K42" i="14"/>
  <c r="D42" i="14"/>
  <c r="N40" i="14"/>
  <c r="K40" i="14"/>
  <c r="K41" i="14" s="1"/>
  <c r="O16" i="14"/>
  <c r="N16" i="14"/>
  <c r="M16" i="14"/>
  <c r="M28" i="14" s="1"/>
  <c r="L16" i="14"/>
  <c r="L28" i="14" s="1"/>
  <c r="H16" i="14"/>
  <c r="H31" i="14" s="1"/>
  <c r="H35" i="14" s="1"/>
  <c r="G16" i="14"/>
  <c r="G17" i="14" s="1"/>
  <c r="G34" i="14" s="1"/>
  <c r="P15" i="14"/>
  <c r="P14" i="14"/>
  <c r="P13" i="14"/>
  <c r="K12" i="14"/>
  <c r="K16" i="14" s="1"/>
  <c r="J12" i="14"/>
  <c r="J16" i="14" s="1"/>
  <c r="J29" i="14" s="1"/>
  <c r="I12" i="14"/>
  <c r="I16" i="14" s="1"/>
  <c r="F12" i="14"/>
  <c r="F16" i="14" s="1"/>
  <c r="E12" i="14"/>
  <c r="E16" i="14" s="1"/>
  <c r="D12" i="14"/>
  <c r="O11" i="14"/>
  <c r="O24" i="14" s="1"/>
  <c r="N11" i="14"/>
  <c r="N24" i="14" s="1"/>
  <c r="M11" i="14"/>
  <c r="M24" i="14" s="1"/>
  <c r="L11" i="14"/>
  <c r="L24" i="14" s="1"/>
  <c r="K11" i="14"/>
  <c r="K24" i="14" s="1"/>
  <c r="J11" i="14"/>
  <c r="J20" i="14" s="1"/>
  <c r="I11" i="14"/>
  <c r="I24" i="14" s="1"/>
  <c r="H11" i="14"/>
  <c r="G11" i="14"/>
  <c r="G24" i="14" s="1"/>
  <c r="F11" i="14"/>
  <c r="F24" i="14" s="1"/>
  <c r="E11" i="14"/>
  <c r="E24" i="14" s="1"/>
  <c r="D11" i="14"/>
  <c r="F21" i="14" s="1"/>
  <c r="P10" i="14"/>
  <c r="P9" i="14"/>
  <c r="P8" i="14"/>
  <c r="P7" i="14"/>
  <c r="F4" i="14"/>
  <c r="O3" i="14"/>
  <c r="D42" i="13"/>
  <c r="K40" i="13"/>
  <c r="K42" i="13" s="1"/>
  <c r="E29" i="13"/>
  <c r="H20" i="13"/>
  <c r="D20" i="13"/>
  <c r="K16" i="13"/>
  <c r="I16" i="13"/>
  <c r="I17" i="13" s="1"/>
  <c r="G16" i="13"/>
  <c r="E16" i="13"/>
  <c r="E32" i="13" s="1"/>
  <c r="P15" i="13"/>
  <c r="P14" i="13"/>
  <c r="O13" i="13"/>
  <c r="N13" i="13"/>
  <c r="M13" i="13"/>
  <c r="L13" i="13"/>
  <c r="O12" i="13"/>
  <c r="O16" i="13" s="1"/>
  <c r="N12" i="13"/>
  <c r="N16" i="13" s="1"/>
  <c r="M12" i="13"/>
  <c r="M16" i="13" s="1"/>
  <c r="L12" i="13"/>
  <c r="L16" i="13" s="1"/>
  <c r="L32" i="13" s="1"/>
  <c r="K12" i="13"/>
  <c r="J12" i="13"/>
  <c r="J16" i="13" s="1"/>
  <c r="H12" i="13"/>
  <c r="H16" i="13" s="1"/>
  <c r="H31" i="13" s="1"/>
  <c r="H35" i="13" s="1"/>
  <c r="F12" i="13"/>
  <c r="F16" i="13" s="1"/>
  <c r="D12" i="13"/>
  <c r="O11" i="13"/>
  <c r="O20" i="13" s="1"/>
  <c r="N11" i="13"/>
  <c r="N20" i="13" s="1"/>
  <c r="M11" i="13"/>
  <c r="M24" i="13" s="1"/>
  <c r="L11" i="13"/>
  <c r="L20" i="13" s="1"/>
  <c r="K11" i="13"/>
  <c r="J11" i="13"/>
  <c r="I11" i="13"/>
  <c r="H11" i="13"/>
  <c r="G11" i="13"/>
  <c r="G20" i="13" s="1"/>
  <c r="F11" i="13"/>
  <c r="F20" i="13" s="1"/>
  <c r="E11" i="13"/>
  <c r="D11" i="13"/>
  <c r="G21" i="13" s="1"/>
  <c r="P10" i="13"/>
  <c r="P9" i="13"/>
  <c r="R8" i="13"/>
  <c r="P8" i="13"/>
  <c r="P7" i="13"/>
  <c r="F4" i="13"/>
  <c r="E31" i="13" s="1"/>
  <c r="E35" i="13" s="1"/>
  <c r="D42" i="12"/>
  <c r="K40" i="12"/>
  <c r="K42" i="12" s="1"/>
  <c r="H31" i="12"/>
  <c r="H35" i="12" s="1"/>
  <c r="J15" i="12"/>
  <c r="P15" i="12" s="1"/>
  <c r="P14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O12" i="12"/>
  <c r="O16" i="12" s="1"/>
  <c r="N12" i="12"/>
  <c r="N16" i="12" s="1"/>
  <c r="M12" i="12"/>
  <c r="M16" i="12" s="1"/>
  <c r="L12" i="12"/>
  <c r="L16" i="12" s="1"/>
  <c r="K12" i="12"/>
  <c r="K16" i="12" s="1"/>
  <c r="J12" i="12"/>
  <c r="J16" i="12" s="1"/>
  <c r="I12" i="12"/>
  <c r="I16" i="12" s="1"/>
  <c r="I27" i="12" s="1"/>
  <c r="H12" i="12"/>
  <c r="H16" i="12" s="1"/>
  <c r="G12" i="12"/>
  <c r="G16" i="12" s="1"/>
  <c r="F12" i="12"/>
  <c r="E12" i="12"/>
  <c r="E16" i="12" s="1"/>
  <c r="D12" i="12"/>
  <c r="D22" i="12" s="1"/>
  <c r="O11" i="12"/>
  <c r="O24" i="12" s="1"/>
  <c r="N11" i="12"/>
  <c r="N24" i="12" s="1"/>
  <c r="M11" i="12"/>
  <c r="M24" i="12" s="1"/>
  <c r="L11" i="12"/>
  <c r="K11" i="12"/>
  <c r="K24" i="12" s="1"/>
  <c r="J11" i="12"/>
  <c r="J20" i="12" s="1"/>
  <c r="I11" i="12"/>
  <c r="I24" i="12" s="1"/>
  <c r="H11" i="12"/>
  <c r="H24" i="12" s="1"/>
  <c r="G11" i="12"/>
  <c r="G24" i="12" s="1"/>
  <c r="F11" i="12"/>
  <c r="F24" i="12" s="1"/>
  <c r="E11" i="12"/>
  <c r="E24" i="12" s="1"/>
  <c r="D11" i="12"/>
  <c r="P10" i="12"/>
  <c r="P9" i="12"/>
  <c r="P8" i="12"/>
  <c r="P7" i="12"/>
  <c r="F4" i="12"/>
  <c r="O3" i="12"/>
  <c r="D42" i="11"/>
  <c r="N40" i="11" s="1"/>
  <c r="K40" i="11"/>
  <c r="K42" i="11" s="1"/>
  <c r="J16" i="11"/>
  <c r="P15" i="11"/>
  <c r="P14" i="11"/>
  <c r="O13" i="11"/>
  <c r="N13" i="11"/>
  <c r="M13" i="11"/>
  <c r="L13" i="11"/>
  <c r="I13" i="11"/>
  <c r="H13" i="11"/>
  <c r="G13" i="11"/>
  <c r="F13" i="11"/>
  <c r="E13" i="11"/>
  <c r="D13" i="11"/>
  <c r="O12" i="11"/>
  <c r="O16" i="11" s="1"/>
  <c r="N12" i="11"/>
  <c r="N16" i="11" s="1"/>
  <c r="M12" i="11"/>
  <c r="M16" i="11" s="1"/>
  <c r="L12" i="11"/>
  <c r="L16" i="11" s="1"/>
  <c r="K12" i="11"/>
  <c r="K16" i="11" s="1"/>
  <c r="J12" i="11"/>
  <c r="I12" i="11"/>
  <c r="I16" i="11" s="1"/>
  <c r="H12" i="11"/>
  <c r="H16" i="11" s="1"/>
  <c r="G12" i="11"/>
  <c r="G16" i="11" s="1"/>
  <c r="F12" i="11"/>
  <c r="F16" i="11" s="1"/>
  <c r="F31" i="11" s="1"/>
  <c r="F35" i="11" s="1"/>
  <c r="E12" i="11"/>
  <c r="E16" i="11" s="1"/>
  <c r="E17" i="11" s="1"/>
  <c r="D12" i="11"/>
  <c r="E22" i="11" s="1"/>
  <c r="O11" i="11"/>
  <c r="O51" i="11" s="1"/>
  <c r="N11" i="11"/>
  <c r="M11" i="11"/>
  <c r="M51" i="11" s="1"/>
  <c r="L11" i="11"/>
  <c r="K11" i="11"/>
  <c r="J11" i="11"/>
  <c r="I11" i="11"/>
  <c r="H11" i="11"/>
  <c r="G11" i="11"/>
  <c r="G51" i="11" s="1"/>
  <c r="F11" i="11"/>
  <c r="E11" i="11"/>
  <c r="E52" i="11" s="1"/>
  <c r="D11" i="11"/>
  <c r="P10" i="11"/>
  <c r="P9" i="11"/>
  <c r="R8" i="11"/>
  <c r="P8" i="11"/>
  <c r="P7" i="11"/>
  <c r="F4" i="11"/>
  <c r="T31" i="11" s="1"/>
  <c r="T35" i="11" s="1"/>
  <c r="K42" i="10"/>
  <c r="D42" i="10"/>
  <c r="S41" i="10"/>
  <c r="N40" i="10"/>
  <c r="K40" i="10"/>
  <c r="K41" i="10" s="1"/>
  <c r="D22" i="10"/>
  <c r="H15" i="10"/>
  <c r="P15" i="10" s="1"/>
  <c r="P14" i="10"/>
  <c r="O13" i="10"/>
  <c r="N13" i="10"/>
  <c r="M13" i="10"/>
  <c r="L13" i="10"/>
  <c r="J13" i="10"/>
  <c r="H13" i="10"/>
  <c r="G13" i="10"/>
  <c r="F13" i="10"/>
  <c r="E13" i="10"/>
  <c r="D13" i="10"/>
  <c r="P13" i="10" s="1"/>
  <c r="O12" i="10"/>
  <c r="O16" i="10" s="1"/>
  <c r="N12" i="10"/>
  <c r="N16" i="10" s="1"/>
  <c r="M12" i="10"/>
  <c r="M16" i="10" s="1"/>
  <c r="L12" i="10"/>
  <c r="L16" i="10" s="1"/>
  <c r="L28" i="10" s="1"/>
  <c r="K12" i="10"/>
  <c r="J12" i="10"/>
  <c r="J16" i="10" s="1"/>
  <c r="I12" i="10"/>
  <c r="I16" i="10" s="1"/>
  <c r="I31" i="10" s="1"/>
  <c r="H12" i="10"/>
  <c r="H16" i="10" s="1"/>
  <c r="G12" i="10"/>
  <c r="F12" i="10"/>
  <c r="E12" i="10"/>
  <c r="E16" i="10" s="1"/>
  <c r="D12" i="10"/>
  <c r="D16" i="10" s="1"/>
  <c r="D28" i="10" s="1"/>
  <c r="O11" i="10"/>
  <c r="N11" i="10"/>
  <c r="N24" i="10" s="1"/>
  <c r="M11" i="10"/>
  <c r="M24" i="10" s="1"/>
  <c r="L11" i="10"/>
  <c r="K11" i="10"/>
  <c r="K20" i="10" s="1"/>
  <c r="J11" i="10"/>
  <c r="J24" i="10" s="1"/>
  <c r="I11" i="10"/>
  <c r="I24" i="10" s="1"/>
  <c r="H11" i="10"/>
  <c r="G11" i="10"/>
  <c r="F11" i="10"/>
  <c r="F24" i="10" s="1"/>
  <c r="E11" i="10"/>
  <c r="E24" i="10" s="1"/>
  <c r="D11" i="10"/>
  <c r="D24" i="10" s="1"/>
  <c r="P10" i="10"/>
  <c r="P9" i="10"/>
  <c r="P8" i="10"/>
  <c r="P7" i="10"/>
  <c r="F4" i="10"/>
  <c r="T31" i="10" s="1"/>
  <c r="T35" i="10" s="1"/>
  <c r="O3" i="10"/>
  <c r="K42" i="9"/>
  <c r="D42" i="9"/>
  <c r="N40" i="9" s="1"/>
  <c r="K40" i="9"/>
  <c r="K41" i="9" s="1"/>
  <c r="E20" i="9"/>
  <c r="T15" i="9"/>
  <c r="P15" i="9"/>
  <c r="T14" i="9"/>
  <c r="P14" i="9"/>
  <c r="R17" i="9" s="1"/>
  <c r="T13" i="9"/>
  <c r="P13" i="9"/>
  <c r="O12" i="9"/>
  <c r="O16" i="9" s="1"/>
  <c r="N12" i="9"/>
  <c r="N16" i="9" s="1"/>
  <c r="N31" i="9" s="1"/>
  <c r="N35" i="9" s="1"/>
  <c r="M12" i="9"/>
  <c r="M16" i="9" s="1"/>
  <c r="M28" i="9" s="1"/>
  <c r="L12" i="9"/>
  <c r="L16" i="9" s="1"/>
  <c r="L17" i="9" s="1"/>
  <c r="K12" i="9"/>
  <c r="K16" i="9" s="1"/>
  <c r="J12" i="9"/>
  <c r="I12" i="9"/>
  <c r="I16" i="9" s="1"/>
  <c r="H12" i="9"/>
  <c r="H16" i="9" s="1"/>
  <c r="H29" i="9" s="1"/>
  <c r="G12" i="9"/>
  <c r="G16" i="9" s="1"/>
  <c r="F12" i="9"/>
  <c r="F16" i="9" s="1"/>
  <c r="E12" i="9"/>
  <c r="E16" i="9" s="1"/>
  <c r="D12" i="9"/>
  <c r="O11" i="9"/>
  <c r="O24" i="9" s="1"/>
  <c r="N11" i="9"/>
  <c r="N20" i="9" s="1"/>
  <c r="M11" i="9"/>
  <c r="M24" i="9" s="1"/>
  <c r="L11" i="9"/>
  <c r="K11" i="9"/>
  <c r="J11" i="9"/>
  <c r="I11" i="9"/>
  <c r="H11" i="9"/>
  <c r="G11" i="9"/>
  <c r="G27" i="9" s="1"/>
  <c r="F11" i="9"/>
  <c r="F20" i="9" s="1"/>
  <c r="E11" i="9"/>
  <c r="E24" i="9" s="1"/>
  <c r="D11" i="9"/>
  <c r="H21" i="9" s="1"/>
  <c r="T10" i="9"/>
  <c r="P10" i="9"/>
  <c r="T9" i="9"/>
  <c r="P9" i="9"/>
  <c r="T8" i="9"/>
  <c r="P8" i="9"/>
  <c r="P7" i="9"/>
  <c r="F4" i="9"/>
  <c r="D43" i="8"/>
  <c r="N41" i="8" s="1"/>
  <c r="K41" i="8"/>
  <c r="K43" i="8" s="1"/>
  <c r="M24" i="8"/>
  <c r="K16" i="8"/>
  <c r="K17" i="8" s="1"/>
  <c r="P15" i="8"/>
  <c r="P14" i="8"/>
  <c r="P13" i="8"/>
  <c r="O12" i="8"/>
  <c r="O16" i="8" s="1"/>
  <c r="O32" i="8" s="1"/>
  <c r="O36" i="8" s="1"/>
  <c r="N12" i="8"/>
  <c r="N16" i="8" s="1"/>
  <c r="M12" i="8"/>
  <c r="M16" i="8" s="1"/>
  <c r="M29" i="8" s="1"/>
  <c r="L12" i="8"/>
  <c r="L16" i="8" s="1"/>
  <c r="K12" i="8"/>
  <c r="J12" i="8"/>
  <c r="J16" i="8" s="1"/>
  <c r="I12" i="8"/>
  <c r="I16" i="8" s="1"/>
  <c r="H12" i="8"/>
  <c r="H16" i="8" s="1"/>
  <c r="H28" i="8" s="1"/>
  <c r="G12" i="8"/>
  <c r="G16" i="8" s="1"/>
  <c r="G32" i="8" s="1"/>
  <c r="G36" i="8" s="1"/>
  <c r="F12" i="8"/>
  <c r="E12" i="8"/>
  <c r="E16" i="8" s="1"/>
  <c r="E32" i="8" s="1"/>
  <c r="E36" i="8" s="1"/>
  <c r="D12" i="8"/>
  <c r="M22" i="8" s="1"/>
  <c r="M26" i="8" s="1"/>
  <c r="O11" i="8"/>
  <c r="O24" i="8" s="1"/>
  <c r="N11" i="8"/>
  <c r="N24" i="8" s="1"/>
  <c r="M11" i="8"/>
  <c r="M20" i="8" s="1"/>
  <c r="L11" i="8"/>
  <c r="K11" i="8"/>
  <c r="K24" i="8" s="1"/>
  <c r="J11" i="8"/>
  <c r="J24" i="8" s="1"/>
  <c r="I11" i="8"/>
  <c r="H11" i="8"/>
  <c r="H24" i="8" s="1"/>
  <c r="G11" i="8"/>
  <c r="G24" i="8" s="1"/>
  <c r="F11" i="8"/>
  <c r="F24" i="8" s="1"/>
  <c r="E11" i="8"/>
  <c r="E20" i="8" s="1"/>
  <c r="D11" i="8"/>
  <c r="P10" i="8"/>
  <c r="P9" i="8"/>
  <c r="P8" i="8"/>
  <c r="P7" i="8"/>
  <c r="F4" i="8"/>
  <c r="T32" i="8" s="1"/>
  <c r="T36" i="8" s="1"/>
  <c r="D43" i="7"/>
  <c r="N41" i="7" s="1"/>
  <c r="K41" i="7"/>
  <c r="K43" i="7" s="1"/>
  <c r="P15" i="7"/>
  <c r="P14" i="7"/>
  <c r="O13" i="7"/>
  <c r="N13" i="7"/>
  <c r="M13" i="7"/>
  <c r="L13" i="7"/>
  <c r="K13" i="7"/>
  <c r="H13" i="7"/>
  <c r="G13" i="7"/>
  <c r="F13" i="7"/>
  <c r="E13" i="7"/>
  <c r="D13" i="7"/>
  <c r="O12" i="7"/>
  <c r="O16" i="7" s="1"/>
  <c r="N12" i="7"/>
  <c r="N16" i="7" s="1"/>
  <c r="N29" i="7" s="1"/>
  <c r="M12" i="7"/>
  <c r="M16" i="7" s="1"/>
  <c r="L12" i="7"/>
  <c r="L16" i="7" s="1"/>
  <c r="L17" i="7" s="1"/>
  <c r="K12" i="7"/>
  <c r="K16" i="7" s="1"/>
  <c r="J12" i="7"/>
  <c r="J16" i="7" s="1"/>
  <c r="I12" i="7"/>
  <c r="H12" i="7"/>
  <c r="H16" i="7" s="1"/>
  <c r="G12" i="7"/>
  <c r="G16" i="7" s="1"/>
  <c r="F12" i="7"/>
  <c r="F16" i="7" s="1"/>
  <c r="E12" i="7"/>
  <c r="E16" i="7" s="1"/>
  <c r="D12" i="7"/>
  <c r="E22" i="7" s="1"/>
  <c r="O11" i="7"/>
  <c r="N11" i="7"/>
  <c r="N24" i="7" s="1"/>
  <c r="M11" i="7"/>
  <c r="L11" i="7"/>
  <c r="L24" i="7" s="1"/>
  <c r="K11" i="7"/>
  <c r="K24" i="7" s="1"/>
  <c r="J11" i="7"/>
  <c r="J24" i="7" s="1"/>
  <c r="I11" i="7"/>
  <c r="H11" i="7"/>
  <c r="H24" i="7" s="1"/>
  <c r="G11" i="7"/>
  <c r="F11" i="7"/>
  <c r="F24" i="7" s="1"/>
  <c r="E11" i="7"/>
  <c r="E20" i="7" s="1"/>
  <c r="D11" i="7"/>
  <c r="P10" i="7"/>
  <c r="P9" i="7"/>
  <c r="P8" i="7"/>
  <c r="P7" i="7"/>
  <c r="F4" i="7"/>
  <c r="D43" i="6"/>
  <c r="N41" i="6" s="1"/>
  <c r="K41" i="6"/>
  <c r="K42" i="6" s="1"/>
  <c r="N20" i="6"/>
  <c r="J16" i="6"/>
  <c r="P15" i="6"/>
  <c r="O13" i="6"/>
  <c r="N13" i="6"/>
  <c r="M13" i="6"/>
  <c r="L13" i="6"/>
  <c r="I13" i="6"/>
  <c r="O12" i="6"/>
  <c r="O16" i="6" s="1"/>
  <c r="N12" i="6"/>
  <c r="N16" i="6" s="1"/>
  <c r="M12" i="6"/>
  <c r="M16" i="6" s="1"/>
  <c r="L12" i="6"/>
  <c r="L16" i="6" s="1"/>
  <c r="K12" i="6"/>
  <c r="J12" i="6"/>
  <c r="I12" i="6"/>
  <c r="I16" i="6" s="1"/>
  <c r="I33" i="6" s="1"/>
  <c r="H12" i="6"/>
  <c r="H16" i="6" s="1"/>
  <c r="G12" i="6"/>
  <c r="G16" i="6" s="1"/>
  <c r="F12" i="6"/>
  <c r="F16" i="6" s="1"/>
  <c r="E12" i="6"/>
  <c r="E16" i="6" s="1"/>
  <c r="D12" i="6"/>
  <c r="O11" i="6"/>
  <c r="O20" i="6" s="1"/>
  <c r="N11" i="6"/>
  <c r="M11" i="6"/>
  <c r="M20" i="6" s="1"/>
  <c r="L11" i="6"/>
  <c r="K11" i="6"/>
  <c r="J11" i="6"/>
  <c r="I11" i="6"/>
  <c r="H11" i="6"/>
  <c r="H20" i="6" s="1"/>
  <c r="G11" i="6"/>
  <c r="G20" i="6" s="1"/>
  <c r="F11" i="6"/>
  <c r="F20" i="6" s="1"/>
  <c r="E11" i="6"/>
  <c r="E20" i="6" s="1"/>
  <c r="D11" i="6"/>
  <c r="P10" i="6"/>
  <c r="P9" i="6"/>
  <c r="P8" i="6"/>
  <c r="P7" i="6"/>
  <c r="F4" i="6"/>
  <c r="D43" i="5"/>
  <c r="N41" i="5"/>
  <c r="K41" i="5"/>
  <c r="K43" i="5" s="1"/>
  <c r="D29" i="5"/>
  <c r="L16" i="5"/>
  <c r="L17" i="5" s="1"/>
  <c r="J16" i="5"/>
  <c r="J33" i="5" s="1"/>
  <c r="P15" i="5"/>
  <c r="O13" i="5"/>
  <c r="N13" i="5"/>
  <c r="M13" i="5"/>
  <c r="L13" i="5"/>
  <c r="H13" i="5"/>
  <c r="G13" i="5"/>
  <c r="F13" i="5"/>
  <c r="E13" i="5"/>
  <c r="D13" i="5"/>
  <c r="O12" i="5"/>
  <c r="O16" i="5" s="1"/>
  <c r="N12" i="5"/>
  <c r="N16" i="5" s="1"/>
  <c r="M12" i="5"/>
  <c r="M16" i="5" s="1"/>
  <c r="L12" i="5"/>
  <c r="K12" i="5"/>
  <c r="K16" i="5" s="1"/>
  <c r="I12" i="5"/>
  <c r="I16" i="5" s="1"/>
  <c r="H12" i="5"/>
  <c r="H16" i="5" s="1"/>
  <c r="G12" i="5"/>
  <c r="G16" i="5" s="1"/>
  <c r="F12" i="5"/>
  <c r="F16" i="5" s="1"/>
  <c r="E12" i="5"/>
  <c r="E16" i="5" s="1"/>
  <c r="D12" i="5"/>
  <c r="D16" i="5" s="1"/>
  <c r="O11" i="5"/>
  <c r="O24" i="5" s="1"/>
  <c r="N11" i="5"/>
  <c r="N20" i="5" s="1"/>
  <c r="M11" i="5"/>
  <c r="L11" i="5"/>
  <c r="L24" i="5" s="1"/>
  <c r="K11" i="5"/>
  <c r="K24" i="5" s="1"/>
  <c r="J11" i="5"/>
  <c r="J24" i="5" s="1"/>
  <c r="I11" i="5"/>
  <c r="I24" i="5" s="1"/>
  <c r="H11" i="5"/>
  <c r="G11" i="5"/>
  <c r="G20" i="5" s="1"/>
  <c r="F11" i="5"/>
  <c r="F20" i="5" s="1"/>
  <c r="E11" i="5"/>
  <c r="D11" i="5"/>
  <c r="P10" i="5"/>
  <c r="P9" i="5"/>
  <c r="P8" i="5"/>
  <c r="P7" i="5"/>
  <c r="F4" i="5"/>
  <c r="O3" i="5"/>
  <c r="Z21" i="4"/>
  <c r="Y19" i="4" s="1"/>
  <c r="Y21" i="4"/>
  <c r="X19" i="4" s="1"/>
  <c r="X21" i="4"/>
  <c r="W19" i="4" s="1"/>
  <c r="W21" i="4"/>
  <c r="V21" i="4"/>
  <c r="V19" i="4"/>
  <c r="AD18" i="4"/>
  <c r="AC18" i="4"/>
  <c r="AB18" i="4"/>
  <c r="AA18" i="4"/>
  <c r="Z18" i="4"/>
  <c r="Y18" i="4"/>
  <c r="X18" i="4"/>
  <c r="W18" i="4"/>
  <c r="V18" i="4"/>
  <c r="AF16" i="4"/>
  <c r="U16" i="4"/>
  <c r="U19" i="4" s="1"/>
  <c r="T16" i="4"/>
  <c r="S16" i="4"/>
  <c r="R16" i="4"/>
  <c r="Q16" i="4"/>
  <c r="P16" i="4"/>
  <c r="P18" i="4" s="1"/>
  <c r="O16" i="4"/>
  <c r="N16" i="4"/>
  <c r="M16" i="4"/>
  <c r="L16" i="4"/>
  <c r="K16" i="4"/>
  <c r="J16" i="4"/>
  <c r="I16" i="4"/>
  <c r="H16" i="4"/>
  <c r="H18" i="4" s="1"/>
  <c r="G16" i="4"/>
  <c r="F16" i="4"/>
  <c r="D43" i="1"/>
  <c r="N41" i="1" s="1"/>
  <c r="K41" i="1"/>
  <c r="K43" i="1" s="1"/>
  <c r="O16" i="1"/>
  <c r="O29" i="1" s="1"/>
  <c r="N16" i="1"/>
  <c r="N17" i="1" s="1"/>
  <c r="M16" i="1"/>
  <c r="M17" i="1" s="1"/>
  <c r="L16" i="1"/>
  <c r="L33" i="1" s="1"/>
  <c r="K16" i="1"/>
  <c r="K30" i="1" s="1"/>
  <c r="J16" i="1"/>
  <c r="I16" i="1"/>
  <c r="P15" i="1"/>
  <c r="G13" i="1"/>
  <c r="F13" i="1"/>
  <c r="E13" i="1"/>
  <c r="D13" i="1"/>
  <c r="H16" i="1"/>
  <c r="G12" i="1"/>
  <c r="F12" i="1"/>
  <c r="E12" i="1"/>
  <c r="D12" i="1"/>
  <c r="O11" i="1"/>
  <c r="N49" i="25" s="1"/>
  <c r="N11" i="1"/>
  <c r="M11" i="1"/>
  <c r="L49" i="25" s="1"/>
  <c r="L11" i="1"/>
  <c r="K11" i="1"/>
  <c r="J11" i="1"/>
  <c r="I11" i="1"/>
  <c r="H11" i="1"/>
  <c r="G11" i="1"/>
  <c r="F11" i="1"/>
  <c r="E11" i="1"/>
  <c r="D11" i="1"/>
  <c r="D21" i="1" s="1"/>
  <c r="P10" i="1"/>
  <c r="P9" i="1"/>
  <c r="P8" i="1"/>
  <c r="P7" i="1"/>
  <c r="F4" i="1"/>
  <c r="J49" i="25" l="1"/>
  <c r="H22" i="1"/>
  <c r="H26" i="1" s="1"/>
  <c r="F26" i="25"/>
  <c r="J32" i="22"/>
  <c r="J31" i="22"/>
  <c r="J28" i="22"/>
  <c r="F234" i="23"/>
  <c r="F70" i="23"/>
  <c r="N234" i="23"/>
  <c r="N70" i="23"/>
  <c r="E158" i="23"/>
  <c r="E242" i="23"/>
  <c r="K20" i="13"/>
  <c r="K24" i="13"/>
  <c r="P99" i="24"/>
  <c r="D102" i="24"/>
  <c r="P102" i="24" s="1"/>
  <c r="K24" i="15"/>
  <c r="K20" i="15"/>
  <c r="M49" i="25"/>
  <c r="M28" i="11"/>
  <c r="M17" i="11"/>
  <c r="O24" i="11"/>
  <c r="M34" i="16"/>
  <c r="M30" i="16"/>
  <c r="M33" i="16"/>
  <c r="F32" i="18"/>
  <c r="F31" i="18"/>
  <c r="F35" i="18" s="1"/>
  <c r="U10" i="20"/>
  <c r="W10" i="20" s="1"/>
  <c r="H47" i="23"/>
  <c r="G240" i="24"/>
  <c r="G125" i="24"/>
  <c r="G244" i="24"/>
  <c r="G169" i="24"/>
  <c r="K32" i="13"/>
  <c r="K17" i="13"/>
  <c r="K29" i="13"/>
  <c r="F49" i="25"/>
  <c r="L20" i="9"/>
  <c r="L24" i="9"/>
  <c r="T12" i="9"/>
  <c r="D24" i="9"/>
  <c r="N21" i="12"/>
  <c r="N4" i="23"/>
  <c r="L47" i="23" s="1"/>
  <c r="K24" i="21"/>
  <c r="K16" i="21"/>
  <c r="M20" i="7"/>
  <c r="M24" i="7"/>
  <c r="O22" i="1"/>
  <c r="O26" i="1" s="1"/>
  <c r="D16" i="1"/>
  <c r="D33" i="1" s="1"/>
  <c r="O20" i="18"/>
  <c r="R10" i="18"/>
  <c r="R11" i="18"/>
  <c r="R9" i="18"/>
  <c r="J29" i="20"/>
  <c r="J28" i="20"/>
  <c r="J31" i="20"/>
  <c r="J35" i="20" s="1"/>
  <c r="D235" i="23"/>
  <c r="D81" i="23"/>
  <c r="P13" i="5"/>
  <c r="E24" i="7"/>
  <c r="H49" i="25"/>
  <c r="E16" i="1"/>
  <c r="E24" i="1" s="1"/>
  <c r="D26" i="25"/>
  <c r="L20" i="10"/>
  <c r="L24" i="10"/>
  <c r="G28" i="17"/>
  <c r="G29" i="17"/>
  <c r="M21" i="22"/>
  <c r="L92" i="23"/>
  <c r="D242" i="24"/>
  <c r="D147" i="24"/>
  <c r="L242" i="24"/>
  <c r="L147" i="24"/>
  <c r="I29" i="19"/>
  <c r="I27" i="19"/>
  <c r="I32" i="19"/>
  <c r="I17" i="19"/>
  <c r="I34" i="19" s="1"/>
  <c r="P176" i="23"/>
  <c r="M22" i="7"/>
  <c r="M26" i="7" s="1"/>
  <c r="I16" i="7"/>
  <c r="I30" i="7" s="1"/>
  <c r="I24" i="8"/>
  <c r="O3" i="8"/>
  <c r="H20" i="1"/>
  <c r="G49" i="25"/>
  <c r="E26" i="7"/>
  <c r="I21" i="8"/>
  <c r="I49" i="25"/>
  <c r="F16" i="1"/>
  <c r="F24" i="1" s="1"/>
  <c r="E26" i="25"/>
  <c r="I32" i="1"/>
  <c r="P12" i="15"/>
  <c r="G20" i="16"/>
  <c r="G24" i="16"/>
  <c r="D239" i="23"/>
  <c r="K49" i="25"/>
  <c r="M24" i="5"/>
  <c r="K21" i="6"/>
  <c r="P13" i="6"/>
  <c r="K43" i="6"/>
  <c r="R13" i="9"/>
  <c r="E22" i="10"/>
  <c r="N21" i="11"/>
  <c r="P12" i="11"/>
  <c r="P13" i="13"/>
  <c r="R13" i="13" s="1"/>
  <c r="I22" i="14"/>
  <c r="J24" i="14"/>
  <c r="D16" i="15"/>
  <c r="D28" i="15" s="1"/>
  <c r="K42" i="15"/>
  <c r="D31" i="16"/>
  <c r="D35" i="16" s="1"/>
  <c r="M27" i="16"/>
  <c r="O17" i="16"/>
  <c r="O33" i="16" s="1"/>
  <c r="E31" i="17"/>
  <c r="E35" i="17" s="1"/>
  <c r="R14" i="17"/>
  <c r="M17" i="17"/>
  <c r="O32" i="17"/>
  <c r="H17" i="18"/>
  <c r="H29" i="18"/>
  <c r="F20" i="19"/>
  <c r="H30" i="20"/>
  <c r="E24" i="21"/>
  <c r="I31" i="22"/>
  <c r="P55" i="23"/>
  <c r="G234" i="23"/>
  <c r="F242" i="23"/>
  <c r="G36" i="24"/>
  <c r="G37" i="24" s="1"/>
  <c r="O36" i="24"/>
  <c r="G234" i="24"/>
  <c r="O234" i="24"/>
  <c r="F236" i="24"/>
  <c r="N236" i="24"/>
  <c r="E237" i="24"/>
  <c r="E240" i="24"/>
  <c r="E243" i="24"/>
  <c r="H244" i="24"/>
  <c r="P13" i="1"/>
  <c r="C18" i="4"/>
  <c r="E18" i="4"/>
  <c r="D18" i="4"/>
  <c r="I21" i="7"/>
  <c r="F20" i="8"/>
  <c r="L22" i="9"/>
  <c r="G20" i="9"/>
  <c r="R17" i="10"/>
  <c r="L22" i="10"/>
  <c r="P13" i="11"/>
  <c r="P12" i="12"/>
  <c r="K20" i="12"/>
  <c r="E17" i="13"/>
  <c r="I31" i="13"/>
  <c r="O31" i="14"/>
  <c r="O35" i="14" s="1"/>
  <c r="E31" i="15"/>
  <c r="E35" i="15" s="1"/>
  <c r="E31" i="16"/>
  <c r="E35" i="16" s="1"/>
  <c r="N27" i="16"/>
  <c r="J20" i="16"/>
  <c r="J30" i="16"/>
  <c r="I31" i="17"/>
  <c r="H20" i="17"/>
  <c r="I17" i="18"/>
  <c r="I33" i="18" s="1"/>
  <c r="F24" i="21"/>
  <c r="T9" i="22"/>
  <c r="L29" i="22"/>
  <c r="L33" i="22" s="1"/>
  <c r="E233" i="23"/>
  <c r="M233" i="23"/>
  <c r="O242" i="23"/>
  <c r="E14" i="24"/>
  <c r="H36" i="24"/>
  <c r="G236" i="24"/>
  <c r="O81" i="24"/>
  <c r="O236" i="24" s="1"/>
  <c r="M242" i="24"/>
  <c r="N20" i="8"/>
  <c r="M20" i="9"/>
  <c r="O27" i="9"/>
  <c r="K24" i="10"/>
  <c r="I21" i="11"/>
  <c r="K41" i="11"/>
  <c r="F21" i="12"/>
  <c r="D16" i="14"/>
  <c r="O28" i="14"/>
  <c r="F27" i="16"/>
  <c r="I24" i="16"/>
  <c r="K42" i="16"/>
  <c r="I31" i="18"/>
  <c r="K33" i="18"/>
  <c r="N16" i="19"/>
  <c r="I20" i="19"/>
  <c r="P10" i="20"/>
  <c r="P20" i="20" s="1"/>
  <c r="G24" i="20"/>
  <c r="D47" i="23"/>
  <c r="J88" i="23"/>
  <c r="J91" i="23" s="1"/>
  <c r="J92" i="23" s="1"/>
  <c r="P155" i="23"/>
  <c r="G212" i="23"/>
  <c r="F14" i="24"/>
  <c r="F230" i="24" s="1"/>
  <c r="D25" i="24"/>
  <c r="D26" i="24" s="1"/>
  <c r="L25" i="24"/>
  <c r="I36" i="24"/>
  <c r="I37" i="24" s="1"/>
  <c r="G237" i="24"/>
  <c r="G92" i="24"/>
  <c r="M22" i="5"/>
  <c r="M26" i="5" s="1"/>
  <c r="M22" i="6"/>
  <c r="M26" i="6" s="1"/>
  <c r="I24" i="7"/>
  <c r="R17" i="8"/>
  <c r="H24" i="9"/>
  <c r="K22" i="9"/>
  <c r="H24" i="10"/>
  <c r="D21" i="11"/>
  <c r="E27" i="13"/>
  <c r="O17" i="14"/>
  <c r="O34" i="14" s="1"/>
  <c r="G24" i="15"/>
  <c r="J22" i="15"/>
  <c r="R13" i="16"/>
  <c r="G17" i="16"/>
  <c r="G33" i="16" s="1"/>
  <c r="J24" i="16"/>
  <c r="G31" i="16"/>
  <c r="G35" i="16" s="1"/>
  <c r="N40" i="16"/>
  <c r="T10" i="18"/>
  <c r="L31" i="18"/>
  <c r="L35" i="18" s="1"/>
  <c r="H24" i="18"/>
  <c r="J20" i="19"/>
  <c r="O3" i="20"/>
  <c r="I21" i="21"/>
  <c r="L24" i="21"/>
  <c r="D36" i="23"/>
  <c r="E47" i="23"/>
  <c r="M47" i="23"/>
  <c r="G70" i="23"/>
  <c r="K88" i="23"/>
  <c r="K91" i="23" s="1"/>
  <c r="K92" i="23" s="1"/>
  <c r="O14" i="24"/>
  <c r="O230" i="24" s="1"/>
  <c r="P66" i="24"/>
  <c r="Q21" i="4"/>
  <c r="L22" i="6"/>
  <c r="L26" i="6" s="1"/>
  <c r="F20" i="7"/>
  <c r="E22" i="8"/>
  <c r="E26" i="8" s="1"/>
  <c r="K42" i="8"/>
  <c r="O20" i="9"/>
  <c r="L17" i="11"/>
  <c r="E21" i="11"/>
  <c r="E51" i="11"/>
  <c r="H24" i="13"/>
  <c r="J22" i="13"/>
  <c r="K22" i="13"/>
  <c r="G31" i="14"/>
  <c r="G35" i="14" s="1"/>
  <c r="K20" i="14"/>
  <c r="R11" i="15"/>
  <c r="K31" i="15"/>
  <c r="J24" i="15"/>
  <c r="J21" i="16"/>
  <c r="H17" i="16"/>
  <c r="H33" i="16" s="1"/>
  <c r="F21" i="16"/>
  <c r="H31" i="16"/>
  <c r="H35" i="16" s="1"/>
  <c r="P12" i="17"/>
  <c r="M27" i="18"/>
  <c r="G27" i="18"/>
  <c r="K30" i="18"/>
  <c r="L20" i="19"/>
  <c r="I20" i="20"/>
  <c r="H33" i="20"/>
  <c r="M24" i="21"/>
  <c r="K20" i="22"/>
  <c r="E36" i="23"/>
  <c r="M36" i="23"/>
  <c r="F47" i="23"/>
  <c r="N47" i="23"/>
  <c r="N232" i="23" s="1"/>
  <c r="N248" i="23" s="1"/>
  <c r="H233" i="23"/>
  <c r="M236" i="23"/>
  <c r="P100" i="23"/>
  <c r="D243" i="23"/>
  <c r="F25" i="24"/>
  <c r="K36" i="24"/>
  <c r="K37" i="24" s="1"/>
  <c r="G239" i="24"/>
  <c r="O239" i="24"/>
  <c r="E241" i="24"/>
  <c r="O242" i="24"/>
  <c r="R21" i="4"/>
  <c r="O20" i="5"/>
  <c r="I21" i="6"/>
  <c r="E22" i="6"/>
  <c r="E26" i="6" s="1"/>
  <c r="N20" i="7"/>
  <c r="K22" i="10"/>
  <c r="J24" i="12"/>
  <c r="O21" i="13"/>
  <c r="H27" i="14"/>
  <c r="I22" i="15"/>
  <c r="I31" i="16"/>
  <c r="I17" i="16"/>
  <c r="I33" i="16" s="1"/>
  <c r="D28" i="16"/>
  <c r="O31" i="16"/>
  <c r="O35" i="16" s="1"/>
  <c r="K41" i="16"/>
  <c r="O29" i="17"/>
  <c r="D21" i="18"/>
  <c r="D16" i="19"/>
  <c r="D23" i="19" s="1"/>
  <c r="N20" i="19"/>
  <c r="D16" i="20"/>
  <c r="J20" i="20"/>
  <c r="F20" i="21"/>
  <c r="N24" i="21"/>
  <c r="J29" i="22"/>
  <c r="J33" i="22" s="1"/>
  <c r="N36" i="23"/>
  <c r="G47" i="23"/>
  <c r="O47" i="23"/>
  <c r="N236" i="23"/>
  <c r="N239" i="23"/>
  <c r="K3" i="24"/>
  <c r="H25" i="24" s="1"/>
  <c r="G25" i="24"/>
  <c r="O25" i="24"/>
  <c r="O231" i="24" s="1"/>
  <c r="L36" i="24"/>
  <c r="L234" i="24"/>
  <c r="J88" i="24"/>
  <c r="J91" i="24" s="1"/>
  <c r="J92" i="24" s="1"/>
  <c r="F241" i="24"/>
  <c r="N241" i="24"/>
  <c r="E158" i="24"/>
  <c r="G212" i="24"/>
  <c r="F244" i="24"/>
  <c r="S21" i="4"/>
  <c r="P12" i="5"/>
  <c r="F22" i="5"/>
  <c r="F26" i="5" s="1"/>
  <c r="J24" i="6"/>
  <c r="L22" i="8"/>
  <c r="L26" i="8" s="1"/>
  <c r="E24" i="8"/>
  <c r="K24" i="9"/>
  <c r="J16" i="9"/>
  <c r="D22" i="9"/>
  <c r="M20" i="10"/>
  <c r="E24" i="11"/>
  <c r="P13" i="12"/>
  <c r="R13" i="12" s="1"/>
  <c r="O28" i="12"/>
  <c r="J24" i="13"/>
  <c r="E28" i="13"/>
  <c r="P12" i="14"/>
  <c r="J22" i="14"/>
  <c r="K21" i="16"/>
  <c r="K31" i="16"/>
  <c r="G29" i="16"/>
  <c r="G32" i="16"/>
  <c r="M31" i="17"/>
  <c r="M35" i="17" s="1"/>
  <c r="E16" i="18"/>
  <c r="M28" i="18"/>
  <c r="N31" i="18"/>
  <c r="N35" i="18" s="1"/>
  <c r="I31" i="19"/>
  <c r="I35" i="19" s="1"/>
  <c r="F16" i="19"/>
  <c r="F31" i="19" s="1"/>
  <c r="F35" i="19" s="1"/>
  <c r="J27" i="19"/>
  <c r="O24" i="21"/>
  <c r="N21" i="22"/>
  <c r="K4" i="23"/>
  <c r="D25" i="23" s="1"/>
  <c r="O36" i="23"/>
  <c r="D58" i="23"/>
  <c r="E237" i="23"/>
  <c r="M237" i="23"/>
  <c r="M252" i="23" s="1"/>
  <c r="O239" i="23"/>
  <c r="E36" i="24"/>
  <c r="M36" i="24"/>
  <c r="E234" i="24"/>
  <c r="M234" i="24"/>
  <c r="E114" i="24"/>
  <c r="F240" i="24"/>
  <c r="H169" i="24"/>
  <c r="E180" i="24"/>
  <c r="D21" i="4"/>
  <c r="C19" i="4" s="1"/>
  <c r="C21" i="4"/>
  <c r="E21" i="4"/>
  <c r="D19" i="4" s="1"/>
  <c r="F18" i="4"/>
  <c r="I21" i="4"/>
  <c r="H19" i="4" s="1"/>
  <c r="P19" i="4"/>
  <c r="J21" i="4"/>
  <c r="I19" i="4" s="1"/>
  <c r="K21" i="4"/>
  <c r="J19" i="4" s="1"/>
  <c r="I18" i="4"/>
  <c r="Q18" i="4"/>
  <c r="L212" i="24"/>
  <c r="L212" i="23"/>
  <c r="O24" i="1"/>
  <c r="O17" i="1"/>
  <c r="O34" i="1" s="1"/>
  <c r="N24" i="1"/>
  <c r="M24" i="1"/>
  <c r="M33" i="1"/>
  <c r="L24" i="1"/>
  <c r="K212" i="24"/>
  <c r="K213" i="23"/>
  <c r="K24" i="1"/>
  <c r="O3" i="1"/>
  <c r="K28" i="1"/>
  <c r="H212" i="24"/>
  <c r="H213" i="24" s="1"/>
  <c r="J28" i="1"/>
  <c r="J32" i="1"/>
  <c r="J24" i="1"/>
  <c r="I24" i="1"/>
  <c r="I20" i="1"/>
  <c r="H28" i="5"/>
  <c r="H32" i="5"/>
  <c r="H36" i="5" s="1"/>
  <c r="H30" i="5"/>
  <c r="H33" i="5"/>
  <c r="H29" i="5"/>
  <c r="H17" i="5"/>
  <c r="R13" i="5"/>
  <c r="R17" i="5"/>
  <c r="G30" i="6"/>
  <c r="G33" i="6"/>
  <c r="G29" i="6"/>
  <c r="G32" i="6"/>
  <c r="G36" i="6" s="1"/>
  <c r="G28" i="6"/>
  <c r="G17" i="6"/>
  <c r="G24" i="6"/>
  <c r="O30" i="6"/>
  <c r="O33" i="6"/>
  <c r="O29" i="6"/>
  <c r="O32" i="6"/>
  <c r="O36" i="6" s="1"/>
  <c r="O28" i="6"/>
  <c r="O17" i="6"/>
  <c r="O24" i="6"/>
  <c r="E24" i="5"/>
  <c r="I30" i="5"/>
  <c r="I33" i="5"/>
  <c r="I28" i="5"/>
  <c r="I17" i="5"/>
  <c r="I32" i="5"/>
  <c r="L24" i="6"/>
  <c r="H33" i="6"/>
  <c r="H29" i="6"/>
  <c r="H32" i="6"/>
  <c r="H36" i="6" s="1"/>
  <c r="H28" i="6"/>
  <c r="H30" i="6"/>
  <c r="H17" i="6"/>
  <c r="H24" i="6"/>
  <c r="R13" i="6"/>
  <c r="R17" i="6"/>
  <c r="N28" i="6"/>
  <c r="N30" i="6"/>
  <c r="N33" i="6"/>
  <c r="N29" i="6"/>
  <c r="N32" i="6"/>
  <c r="N36" i="6" s="1"/>
  <c r="N17" i="6"/>
  <c r="N24" i="6"/>
  <c r="M31" i="1"/>
  <c r="M34" i="1"/>
  <c r="M35" i="1"/>
  <c r="K17" i="5"/>
  <c r="K33" i="5"/>
  <c r="K32" i="5"/>
  <c r="K28" i="5"/>
  <c r="K30" i="5"/>
  <c r="I23" i="5"/>
  <c r="N31" i="1"/>
  <c r="N34" i="1"/>
  <c r="N35" i="1"/>
  <c r="G24" i="5"/>
  <c r="I48" i="11"/>
  <c r="E29" i="1"/>
  <c r="E17" i="1"/>
  <c r="E32" i="1"/>
  <c r="E36" i="1" s="1"/>
  <c r="E28" i="1"/>
  <c r="E30" i="1"/>
  <c r="E33" i="1"/>
  <c r="F17" i="1"/>
  <c r="F29" i="1"/>
  <c r="F32" i="1"/>
  <c r="F36" i="1" s="1"/>
  <c r="F28" i="1"/>
  <c r="F30" i="1"/>
  <c r="F33" i="1"/>
  <c r="H24" i="5"/>
  <c r="M29" i="5"/>
  <c r="M17" i="5"/>
  <c r="M32" i="5"/>
  <c r="M36" i="5" s="1"/>
  <c r="M28" i="5"/>
  <c r="M30" i="5"/>
  <c r="M33" i="5"/>
  <c r="L31" i="5"/>
  <c r="L34" i="5"/>
  <c r="L35" i="5"/>
  <c r="L34" i="9"/>
  <c r="L33" i="9"/>
  <c r="L30" i="9"/>
  <c r="G32" i="5"/>
  <c r="G36" i="5" s="1"/>
  <c r="G28" i="5"/>
  <c r="G30" i="5"/>
  <c r="G33" i="5"/>
  <c r="G29" i="5"/>
  <c r="G17" i="5"/>
  <c r="E17" i="5"/>
  <c r="E32" i="5"/>
  <c r="E36" i="5" s="1"/>
  <c r="E28" i="5"/>
  <c r="E30" i="5"/>
  <c r="J23" i="5"/>
  <c r="E33" i="5"/>
  <c r="E29" i="5"/>
  <c r="N29" i="5"/>
  <c r="N32" i="5"/>
  <c r="N36" i="5" s="1"/>
  <c r="N24" i="5"/>
  <c r="N28" i="5"/>
  <c r="N30" i="5"/>
  <c r="N33" i="5"/>
  <c r="N17" i="5"/>
  <c r="L29" i="6"/>
  <c r="L32" i="6"/>
  <c r="L36" i="6" s="1"/>
  <c r="L28" i="6"/>
  <c r="L30" i="6"/>
  <c r="L33" i="6"/>
  <c r="L17" i="6"/>
  <c r="L34" i="11"/>
  <c r="L33" i="11"/>
  <c r="L30" i="11"/>
  <c r="R13" i="1"/>
  <c r="R17" i="1"/>
  <c r="F28" i="6"/>
  <c r="F30" i="6"/>
  <c r="F33" i="6"/>
  <c r="F29" i="6"/>
  <c r="F32" i="6"/>
  <c r="F36" i="6" s="1"/>
  <c r="F17" i="6"/>
  <c r="F24" i="6"/>
  <c r="H32" i="1"/>
  <c r="H36" i="1" s="1"/>
  <c r="H24" i="1"/>
  <c r="H28" i="1"/>
  <c r="H30" i="1"/>
  <c r="H33" i="1"/>
  <c r="H29" i="1"/>
  <c r="H17" i="1"/>
  <c r="F32" i="5"/>
  <c r="F36" i="5" s="1"/>
  <c r="F28" i="5"/>
  <c r="F30" i="5"/>
  <c r="F33" i="5"/>
  <c r="F29" i="5"/>
  <c r="F17" i="5"/>
  <c r="F24" i="5"/>
  <c r="O32" i="5"/>
  <c r="O36" i="5" s="1"/>
  <c r="O29" i="5"/>
  <c r="O28" i="5"/>
  <c r="O30" i="5"/>
  <c r="O33" i="5"/>
  <c r="O17" i="5"/>
  <c r="E32" i="6"/>
  <c r="E36" i="6" s="1"/>
  <c r="E28" i="6"/>
  <c r="E30" i="6"/>
  <c r="E33" i="6"/>
  <c r="E29" i="6"/>
  <c r="E24" i="6"/>
  <c r="E17" i="6"/>
  <c r="M32" i="6"/>
  <c r="M36" i="6" s="1"/>
  <c r="M28" i="6"/>
  <c r="M30" i="6"/>
  <c r="M33" i="6"/>
  <c r="M24" i="6"/>
  <c r="M29" i="6"/>
  <c r="M17" i="6"/>
  <c r="L21" i="1"/>
  <c r="L49" i="1" s="1"/>
  <c r="L30" i="1"/>
  <c r="L21" i="4"/>
  <c r="K19" i="4" s="1"/>
  <c r="J20" i="1"/>
  <c r="E21" i="1"/>
  <c r="M21" i="1"/>
  <c r="M49" i="1" s="1"/>
  <c r="I22" i="1"/>
  <c r="I26" i="1" s="1"/>
  <c r="E23" i="1"/>
  <c r="D28" i="1"/>
  <c r="L28" i="1"/>
  <c r="M30" i="1"/>
  <c r="K32" i="1"/>
  <c r="N33" i="1"/>
  <c r="J18" i="4"/>
  <c r="R18" i="4"/>
  <c r="Q19" i="4"/>
  <c r="M21" i="4"/>
  <c r="L19" i="4" s="1"/>
  <c r="U21" i="4"/>
  <c r="T19" i="4" s="1"/>
  <c r="H20" i="5"/>
  <c r="K21" i="5"/>
  <c r="K49" i="5" s="1"/>
  <c r="G22" i="5"/>
  <c r="G26" i="5" s="1"/>
  <c r="O22" i="5"/>
  <c r="O26" i="5" s="1"/>
  <c r="K23" i="5"/>
  <c r="J28" i="5"/>
  <c r="D33" i="5"/>
  <c r="L33" i="5"/>
  <c r="J32" i="6"/>
  <c r="J28" i="6"/>
  <c r="J30" i="6"/>
  <c r="J33" i="6"/>
  <c r="J21" i="6"/>
  <c r="J49" i="6" s="1"/>
  <c r="F22" i="6"/>
  <c r="F26" i="6" s="1"/>
  <c r="N22" i="6"/>
  <c r="N26" i="6" s="1"/>
  <c r="F32" i="7"/>
  <c r="F36" i="7" s="1"/>
  <c r="F28" i="7"/>
  <c r="F30" i="7"/>
  <c r="F33" i="7"/>
  <c r="F29" i="7"/>
  <c r="F17" i="7"/>
  <c r="N32" i="7"/>
  <c r="N36" i="7" s="1"/>
  <c r="N28" i="7"/>
  <c r="N30" i="7"/>
  <c r="N33" i="7"/>
  <c r="N17" i="7"/>
  <c r="J17" i="8"/>
  <c r="J32" i="8"/>
  <c r="J28" i="8"/>
  <c r="J33" i="8"/>
  <c r="J30" i="8"/>
  <c r="I17" i="9"/>
  <c r="I31" i="9"/>
  <c r="I27" i="9"/>
  <c r="I32" i="9"/>
  <c r="I29" i="9"/>
  <c r="H32" i="9"/>
  <c r="G16" i="10"/>
  <c r="P12" i="10"/>
  <c r="O28" i="10"/>
  <c r="O31" i="10"/>
  <c r="O35" i="10" s="1"/>
  <c r="O27" i="10"/>
  <c r="O32" i="10"/>
  <c r="O29" i="10"/>
  <c r="O17" i="10"/>
  <c r="N28" i="12"/>
  <c r="N31" i="12"/>
  <c r="N35" i="12" s="1"/>
  <c r="N17" i="12"/>
  <c r="N27" i="12"/>
  <c r="N29" i="12"/>
  <c r="N32" i="12"/>
  <c r="D30" i="1"/>
  <c r="T21" i="4"/>
  <c r="S19" i="4" s="1"/>
  <c r="J30" i="5"/>
  <c r="J17" i="9"/>
  <c r="J31" i="9"/>
  <c r="J27" i="9"/>
  <c r="J32" i="9"/>
  <c r="J29" i="9"/>
  <c r="N28" i="10"/>
  <c r="N31" i="10"/>
  <c r="N35" i="10" s="1"/>
  <c r="N27" i="10"/>
  <c r="N32" i="10"/>
  <c r="N29" i="10"/>
  <c r="N17" i="10"/>
  <c r="H28" i="11"/>
  <c r="H31" i="11"/>
  <c r="H35" i="11" s="1"/>
  <c r="H27" i="11"/>
  <c r="H29" i="11"/>
  <c r="H17" i="11"/>
  <c r="H32" i="11"/>
  <c r="P12" i="1"/>
  <c r="I17" i="1"/>
  <c r="K20" i="1"/>
  <c r="F21" i="1"/>
  <c r="N21" i="1"/>
  <c r="N49" i="1" s="1"/>
  <c r="J22" i="1"/>
  <c r="J26" i="1" s="1"/>
  <c r="F23" i="1"/>
  <c r="M28" i="1"/>
  <c r="N30" i="1"/>
  <c r="D32" i="1"/>
  <c r="D36" i="1" s="1"/>
  <c r="L32" i="1"/>
  <c r="L36" i="1" s="1"/>
  <c r="O33" i="1"/>
  <c r="K42" i="1"/>
  <c r="K18" i="4"/>
  <c r="S18" i="4"/>
  <c r="R19" i="4"/>
  <c r="F21" i="4"/>
  <c r="E19" i="4" s="1"/>
  <c r="N21" i="4"/>
  <c r="M19" i="4" s="1"/>
  <c r="I20" i="5"/>
  <c r="D21" i="5"/>
  <c r="L21" i="5"/>
  <c r="H22" i="5"/>
  <c r="H26" i="5" s="1"/>
  <c r="D23" i="5"/>
  <c r="L23" i="5"/>
  <c r="D30" i="5"/>
  <c r="L30" i="5"/>
  <c r="J32" i="5"/>
  <c r="K16" i="6"/>
  <c r="G22" i="6"/>
  <c r="G26" i="6" s="1"/>
  <c r="O22" i="6"/>
  <c r="O26" i="6" s="1"/>
  <c r="G28" i="7"/>
  <c r="G30" i="7"/>
  <c r="G33" i="7"/>
  <c r="G29" i="7"/>
  <c r="G17" i="7"/>
  <c r="O28" i="7"/>
  <c r="O30" i="7"/>
  <c r="O33" i="7"/>
  <c r="O17" i="7"/>
  <c r="O29" i="7"/>
  <c r="L34" i="7"/>
  <c r="L35" i="7"/>
  <c r="R24" i="9"/>
  <c r="F52" i="11"/>
  <c r="F51" i="11"/>
  <c r="M21" i="11"/>
  <c r="L21" i="11"/>
  <c r="K21" i="11"/>
  <c r="K48" i="11" s="1"/>
  <c r="P11" i="11"/>
  <c r="R13" i="11" s="1"/>
  <c r="F24" i="11"/>
  <c r="J21" i="11"/>
  <c r="N52" i="11"/>
  <c r="N24" i="11"/>
  <c r="N51" i="11"/>
  <c r="D23" i="1"/>
  <c r="I33" i="7"/>
  <c r="I17" i="7"/>
  <c r="I32" i="7"/>
  <c r="I28" i="7"/>
  <c r="P11" i="1"/>
  <c r="G16" i="1"/>
  <c r="H23" i="1" s="1"/>
  <c r="J17" i="1"/>
  <c r="D20" i="1"/>
  <c r="L20" i="1"/>
  <c r="G21" i="1"/>
  <c r="O21" i="1"/>
  <c r="K22" i="1"/>
  <c r="K26" i="1" s="1"/>
  <c r="O23" i="1"/>
  <c r="N28" i="1"/>
  <c r="L29" i="1"/>
  <c r="O30" i="1"/>
  <c r="M32" i="1"/>
  <c r="M36" i="1" s="1"/>
  <c r="AI16" i="4"/>
  <c r="L18" i="4"/>
  <c r="T18" i="4"/>
  <c r="G21" i="4"/>
  <c r="F19" i="4" s="1"/>
  <c r="O21" i="4"/>
  <c r="N19" i="4" s="1"/>
  <c r="P11" i="5"/>
  <c r="R15" i="5" s="1"/>
  <c r="J20" i="5"/>
  <c r="E21" i="5"/>
  <c r="M21" i="5"/>
  <c r="I22" i="5"/>
  <c r="I26" i="5" s="1"/>
  <c r="E23" i="5"/>
  <c r="M23" i="5"/>
  <c r="D28" i="5"/>
  <c r="L28" i="5"/>
  <c r="O3" i="6"/>
  <c r="I49" i="6"/>
  <c r="D16" i="6"/>
  <c r="I20" i="6"/>
  <c r="D21" i="6"/>
  <c r="L21" i="6"/>
  <c r="L49" i="6" s="1"/>
  <c r="H22" i="6"/>
  <c r="H26" i="6" s="1"/>
  <c r="H30" i="7"/>
  <c r="H33" i="7"/>
  <c r="H29" i="7"/>
  <c r="H17" i="7"/>
  <c r="H32" i="7"/>
  <c r="H36" i="7" s="1"/>
  <c r="L31" i="7"/>
  <c r="L29" i="8"/>
  <c r="L32" i="8"/>
  <c r="L36" i="8" s="1"/>
  <c r="L28" i="8"/>
  <c r="L33" i="8"/>
  <c r="L30" i="8"/>
  <c r="I17" i="8"/>
  <c r="I32" i="8"/>
  <c r="I28" i="8"/>
  <c r="I33" i="8"/>
  <c r="K17" i="9"/>
  <c r="K31" i="9"/>
  <c r="K27" i="9"/>
  <c r="K32" i="9"/>
  <c r="K29" i="9"/>
  <c r="I27" i="10"/>
  <c r="I32" i="10"/>
  <c r="I29" i="10"/>
  <c r="I17" i="10"/>
  <c r="E20" i="10"/>
  <c r="K31" i="11"/>
  <c r="K32" i="11"/>
  <c r="K29" i="11"/>
  <c r="K27" i="11"/>
  <c r="K17" i="11"/>
  <c r="R17" i="11"/>
  <c r="M22" i="11"/>
  <c r="J21" i="5"/>
  <c r="K17" i="1"/>
  <c r="E20" i="1"/>
  <c r="M20" i="1"/>
  <c r="H21" i="1"/>
  <c r="D22" i="1"/>
  <c r="D26" i="1" s="1"/>
  <c r="L22" i="1"/>
  <c r="L26" i="1" s="1"/>
  <c r="D24" i="1"/>
  <c r="O28" i="1"/>
  <c r="M29" i="1"/>
  <c r="N32" i="1"/>
  <c r="N36" i="1" s="1"/>
  <c r="I33" i="1"/>
  <c r="AI17" i="4"/>
  <c r="M18" i="4"/>
  <c r="U18" i="4"/>
  <c r="H21" i="4"/>
  <c r="G19" i="4" s="1"/>
  <c r="P21" i="4"/>
  <c r="O19" i="4" s="1"/>
  <c r="K20" i="5"/>
  <c r="F21" i="5"/>
  <c r="N21" i="5"/>
  <c r="J22" i="5"/>
  <c r="J26" i="5" s="1"/>
  <c r="F23" i="5"/>
  <c r="N23" i="5"/>
  <c r="D32" i="5"/>
  <c r="D36" i="5" s="1"/>
  <c r="L32" i="5"/>
  <c r="L36" i="5" s="1"/>
  <c r="K42" i="5"/>
  <c r="J20" i="6"/>
  <c r="E21" i="6"/>
  <c r="M21" i="6"/>
  <c r="M49" i="6" s="1"/>
  <c r="I22" i="6"/>
  <c r="I26" i="6" s="1"/>
  <c r="I24" i="6"/>
  <c r="P13" i="7"/>
  <c r="R13" i="7" s="1"/>
  <c r="G32" i="7"/>
  <c r="G36" i="7" s="1"/>
  <c r="K34" i="8"/>
  <c r="K31" i="8"/>
  <c r="K35" i="8"/>
  <c r="I24" i="9"/>
  <c r="I20" i="9"/>
  <c r="L28" i="9"/>
  <c r="L31" i="9"/>
  <c r="L35" i="9" s="1"/>
  <c r="L27" i="9"/>
  <c r="L32" i="9"/>
  <c r="L29" i="9"/>
  <c r="J32" i="10"/>
  <c r="J29" i="10"/>
  <c r="J17" i="10"/>
  <c r="J31" i="10"/>
  <c r="L22" i="11"/>
  <c r="L28" i="11"/>
  <c r="L31" i="11"/>
  <c r="L35" i="11" s="1"/>
  <c r="L27" i="11"/>
  <c r="L32" i="11"/>
  <c r="L29" i="11"/>
  <c r="R15" i="11"/>
  <c r="N22" i="5"/>
  <c r="N26" i="5" s="1"/>
  <c r="I32" i="6"/>
  <c r="I28" i="6"/>
  <c r="I30" i="6"/>
  <c r="D17" i="1"/>
  <c r="L17" i="1"/>
  <c r="F20" i="1"/>
  <c r="N20" i="1"/>
  <c r="I21" i="1"/>
  <c r="I49" i="1" s="1"/>
  <c r="E22" i="1"/>
  <c r="E26" i="1" s="1"/>
  <c r="M22" i="1"/>
  <c r="M26" i="1" s="1"/>
  <c r="I23" i="1"/>
  <c r="N29" i="1"/>
  <c r="I30" i="1"/>
  <c r="O32" i="1"/>
  <c r="O36" i="1" s="1"/>
  <c r="J33" i="1"/>
  <c r="N18" i="4"/>
  <c r="J17" i="5"/>
  <c r="D20" i="5"/>
  <c r="L20" i="5"/>
  <c r="G21" i="5"/>
  <c r="G49" i="5" s="1"/>
  <c r="O21" i="5"/>
  <c r="O25" i="5" s="1"/>
  <c r="K22" i="5"/>
  <c r="K26" i="5" s="1"/>
  <c r="G23" i="5"/>
  <c r="O23" i="5"/>
  <c r="L29" i="5"/>
  <c r="P12" i="6"/>
  <c r="I17" i="6"/>
  <c r="K20" i="6"/>
  <c r="F21" i="6"/>
  <c r="N21" i="6"/>
  <c r="N49" i="6" s="1"/>
  <c r="J22" i="6"/>
  <c r="J26" i="6" s="1"/>
  <c r="K49" i="6"/>
  <c r="J17" i="7"/>
  <c r="J32" i="7"/>
  <c r="J28" i="7"/>
  <c r="J30" i="7"/>
  <c r="O32" i="7"/>
  <c r="O36" i="7" s="1"/>
  <c r="F16" i="8"/>
  <c r="P12" i="8"/>
  <c r="N32" i="8"/>
  <c r="N36" i="8" s="1"/>
  <c r="N28" i="8"/>
  <c r="N33" i="8"/>
  <c r="N30" i="8"/>
  <c r="N17" i="8"/>
  <c r="N29" i="8"/>
  <c r="R10" i="9"/>
  <c r="J24" i="9"/>
  <c r="E31" i="9"/>
  <c r="E35" i="9" s="1"/>
  <c r="E27" i="9"/>
  <c r="E32" i="9"/>
  <c r="E29" i="9"/>
  <c r="E28" i="9"/>
  <c r="E17" i="9"/>
  <c r="M31" i="9"/>
  <c r="M35" i="9" s="1"/>
  <c r="M27" i="9"/>
  <c r="M32" i="9"/>
  <c r="M29" i="9"/>
  <c r="M17" i="9"/>
  <c r="R24" i="10"/>
  <c r="O24" i="10"/>
  <c r="H21" i="10"/>
  <c r="H25" i="10" s="1"/>
  <c r="F20" i="11"/>
  <c r="J32" i="12"/>
  <c r="J31" i="12"/>
  <c r="J17" i="12"/>
  <c r="J27" i="12"/>
  <c r="J29" i="12"/>
  <c r="G31" i="13"/>
  <c r="G35" i="13" s="1"/>
  <c r="G17" i="13"/>
  <c r="G27" i="13"/>
  <c r="G29" i="13"/>
  <c r="G24" i="13"/>
  <c r="G32" i="13"/>
  <c r="G28" i="13"/>
  <c r="E32" i="7"/>
  <c r="E36" i="7" s="1"/>
  <c r="E28" i="7"/>
  <c r="E30" i="7"/>
  <c r="E33" i="7"/>
  <c r="E29" i="7"/>
  <c r="E17" i="7"/>
  <c r="R12" i="11"/>
  <c r="G20" i="1"/>
  <c r="O20" i="1"/>
  <c r="J21" i="1"/>
  <c r="J49" i="1" s="1"/>
  <c r="F22" i="1"/>
  <c r="F26" i="1" s="1"/>
  <c r="N22" i="1"/>
  <c r="N26" i="1" s="1"/>
  <c r="J23" i="1"/>
  <c r="I28" i="1"/>
  <c r="D29" i="1"/>
  <c r="J30" i="1"/>
  <c r="K33" i="1"/>
  <c r="G18" i="4"/>
  <c r="O18" i="4"/>
  <c r="P16" i="5"/>
  <c r="E20" i="5"/>
  <c r="M20" i="5"/>
  <c r="H21" i="5"/>
  <c r="D22" i="5"/>
  <c r="D26" i="5" s="1"/>
  <c r="L22" i="5"/>
  <c r="L26" i="5" s="1"/>
  <c r="H23" i="5"/>
  <c r="D24" i="5"/>
  <c r="J17" i="6"/>
  <c r="D20" i="6"/>
  <c r="L20" i="6"/>
  <c r="G21" i="6"/>
  <c r="G49" i="6" s="1"/>
  <c r="O21" i="6"/>
  <c r="K22" i="6"/>
  <c r="K26" i="6" s="1"/>
  <c r="G24" i="7"/>
  <c r="G20" i="7"/>
  <c r="O24" i="7"/>
  <c r="O20" i="7"/>
  <c r="K17" i="7"/>
  <c r="K32" i="7"/>
  <c r="K28" i="7"/>
  <c r="K30" i="7"/>
  <c r="K33" i="7"/>
  <c r="R17" i="7"/>
  <c r="H28" i="7"/>
  <c r="J33" i="7"/>
  <c r="G28" i="8"/>
  <c r="G33" i="8"/>
  <c r="G30" i="8"/>
  <c r="G29" i="8"/>
  <c r="G17" i="8"/>
  <c r="O28" i="8"/>
  <c r="O33" i="8"/>
  <c r="O30" i="8"/>
  <c r="O17" i="8"/>
  <c r="O29" i="8"/>
  <c r="I30" i="8"/>
  <c r="O3" i="9"/>
  <c r="F27" i="9"/>
  <c r="F32" i="9"/>
  <c r="F29" i="9"/>
  <c r="F28" i="9"/>
  <c r="F17" i="9"/>
  <c r="N27" i="9"/>
  <c r="N32" i="9"/>
  <c r="N29" i="9"/>
  <c r="N17" i="9"/>
  <c r="N28" i="9"/>
  <c r="J22" i="10"/>
  <c r="J27" i="10"/>
  <c r="R9" i="11"/>
  <c r="F27" i="11"/>
  <c r="F32" i="11"/>
  <c r="F29" i="11"/>
  <c r="F17" i="11"/>
  <c r="F28" i="11"/>
  <c r="N27" i="11"/>
  <c r="N32" i="11"/>
  <c r="N29" i="11"/>
  <c r="N28" i="11"/>
  <c r="N17" i="11"/>
  <c r="N31" i="11"/>
  <c r="N35" i="11" s="1"/>
  <c r="I31" i="11"/>
  <c r="I27" i="11"/>
  <c r="I32" i="11"/>
  <c r="I29" i="11"/>
  <c r="I17" i="11"/>
  <c r="N20" i="11"/>
  <c r="I24" i="13"/>
  <c r="I20" i="13"/>
  <c r="O3" i="13"/>
  <c r="M29" i="7"/>
  <c r="M32" i="7"/>
  <c r="M36" i="7" s="1"/>
  <c r="M28" i="7"/>
  <c r="M30" i="7"/>
  <c r="M33" i="7"/>
  <c r="M17" i="7"/>
  <c r="H28" i="9"/>
  <c r="H17" i="9"/>
  <c r="H31" i="9"/>
  <c r="H35" i="9" s="1"/>
  <c r="H27" i="9"/>
  <c r="K21" i="1"/>
  <c r="G22" i="1"/>
  <c r="G26" i="1" s="1"/>
  <c r="K23" i="1"/>
  <c r="D17" i="5"/>
  <c r="I21" i="5"/>
  <c r="I25" i="5" s="1"/>
  <c r="E22" i="5"/>
  <c r="E26" i="5" s="1"/>
  <c r="P11" i="6"/>
  <c r="H21" i="6"/>
  <c r="D22" i="6"/>
  <c r="D26" i="6" s="1"/>
  <c r="D24" i="6"/>
  <c r="L22" i="7"/>
  <c r="L26" i="7" s="1"/>
  <c r="L29" i="7"/>
  <c r="L32" i="7"/>
  <c r="L36" i="7" s="1"/>
  <c r="L28" i="7"/>
  <c r="L30" i="7"/>
  <c r="L33" i="7"/>
  <c r="I49" i="8"/>
  <c r="D24" i="8"/>
  <c r="H21" i="8"/>
  <c r="H49" i="8" s="1"/>
  <c r="P51" i="8"/>
  <c r="O21" i="8"/>
  <c r="G21" i="8"/>
  <c r="D20" i="8"/>
  <c r="G49" i="8"/>
  <c r="N21" i="8"/>
  <c r="F21" i="8"/>
  <c r="F49" i="8" s="1"/>
  <c r="N49" i="8"/>
  <c r="M21" i="8"/>
  <c r="E21" i="8"/>
  <c r="P11" i="8"/>
  <c r="I25" i="7" s="1"/>
  <c r="I53" i="7" s="1"/>
  <c r="M49" i="8"/>
  <c r="E49" i="8"/>
  <c r="L21" i="8"/>
  <c r="L49" i="8" s="1"/>
  <c r="D21" i="8"/>
  <c r="D25" i="8" s="1"/>
  <c r="K21" i="8"/>
  <c r="K49" i="8" s="1"/>
  <c r="J21" i="8"/>
  <c r="L24" i="8"/>
  <c r="L20" i="8"/>
  <c r="H33" i="8"/>
  <c r="H30" i="8"/>
  <c r="H29" i="8"/>
  <c r="H17" i="8"/>
  <c r="H32" i="8"/>
  <c r="H36" i="8" s="1"/>
  <c r="R13" i="8"/>
  <c r="L17" i="8"/>
  <c r="H48" i="9"/>
  <c r="G32" i="9"/>
  <c r="G29" i="9"/>
  <c r="G28" i="9"/>
  <c r="G17" i="9"/>
  <c r="G31" i="9"/>
  <c r="G35" i="9" s="1"/>
  <c r="O32" i="9"/>
  <c r="O29" i="9"/>
  <c r="O17" i="9"/>
  <c r="O28" i="9"/>
  <c r="O31" i="9"/>
  <c r="O35" i="9" s="1"/>
  <c r="F31" i="9"/>
  <c r="F35" i="9" s="1"/>
  <c r="E31" i="10"/>
  <c r="E35" i="10" s="1"/>
  <c r="E27" i="10"/>
  <c r="E32" i="10"/>
  <c r="E29" i="10"/>
  <c r="E17" i="10"/>
  <c r="M28" i="10"/>
  <c r="M31" i="10"/>
  <c r="M35" i="10" s="1"/>
  <c r="M27" i="10"/>
  <c r="M32" i="10"/>
  <c r="M29" i="10"/>
  <c r="M17" i="10"/>
  <c r="H31" i="10"/>
  <c r="H35" i="10" s="1"/>
  <c r="H27" i="10"/>
  <c r="H32" i="10"/>
  <c r="H29" i="10"/>
  <c r="H17" i="10"/>
  <c r="H28" i="10"/>
  <c r="E28" i="10"/>
  <c r="R10" i="11"/>
  <c r="G32" i="11"/>
  <c r="G29" i="11"/>
  <c r="G28" i="11"/>
  <c r="G31" i="11"/>
  <c r="G35" i="11" s="1"/>
  <c r="G27" i="11"/>
  <c r="G17" i="11"/>
  <c r="O32" i="11"/>
  <c r="O29" i="11"/>
  <c r="O28" i="11"/>
  <c r="O31" i="11"/>
  <c r="O35" i="11" s="1"/>
  <c r="O17" i="11"/>
  <c r="O27" i="11"/>
  <c r="P11" i="7"/>
  <c r="I25" i="6" s="1"/>
  <c r="J21" i="7"/>
  <c r="F22" i="7"/>
  <c r="F26" i="7" s="1"/>
  <c r="N22" i="7"/>
  <c r="N26" i="7" s="1"/>
  <c r="E17" i="8"/>
  <c r="M17" i="8"/>
  <c r="G20" i="8"/>
  <c r="O20" i="8"/>
  <c r="F22" i="8"/>
  <c r="F26" i="8" s="1"/>
  <c r="N22" i="8"/>
  <c r="N26" i="8" s="1"/>
  <c r="T11" i="9"/>
  <c r="I21" i="9"/>
  <c r="E22" i="9"/>
  <c r="M22" i="9"/>
  <c r="D17" i="10"/>
  <c r="L17" i="10"/>
  <c r="F20" i="10"/>
  <c r="N20" i="10"/>
  <c r="I21" i="10"/>
  <c r="I25" i="10" s="1"/>
  <c r="M22" i="10"/>
  <c r="D29" i="10"/>
  <c r="L29" i="10"/>
  <c r="D32" i="10"/>
  <c r="L32" i="10"/>
  <c r="J31" i="11"/>
  <c r="J27" i="11"/>
  <c r="J32" i="11"/>
  <c r="J29" i="11"/>
  <c r="E34" i="11"/>
  <c r="E33" i="11"/>
  <c r="E30" i="11"/>
  <c r="M34" i="11"/>
  <c r="M33" i="11"/>
  <c r="M30" i="11"/>
  <c r="G20" i="11"/>
  <c r="O20" i="11"/>
  <c r="F22" i="11"/>
  <c r="N22" i="11"/>
  <c r="K31" i="12"/>
  <c r="K17" i="12"/>
  <c r="K27" i="12"/>
  <c r="K29" i="12"/>
  <c r="F31" i="13"/>
  <c r="F35" i="13" s="1"/>
  <c r="F17" i="13"/>
  <c r="F27" i="13"/>
  <c r="F29" i="13"/>
  <c r="F32" i="13"/>
  <c r="F28" i="13"/>
  <c r="J32" i="15"/>
  <c r="J31" i="15"/>
  <c r="J17" i="15"/>
  <c r="J27" i="15"/>
  <c r="J29" i="15"/>
  <c r="H20" i="7"/>
  <c r="K21" i="7"/>
  <c r="K25" i="7" s="1"/>
  <c r="K53" i="7" s="1"/>
  <c r="G22" i="7"/>
  <c r="G26" i="7" s="1"/>
  <c r="O22" i="7"/>
  <c r="O26" i="7" s="1"/>
  <c r="H20" i="8"/>
  <c r="G22" i="8"/>
  <c r="G26" i="8" s="1"/>
  <c r="O22" i="8"/>
  <c r="O26" i="8" s="1"/>
  <c r="E29" i="8"/>
  <c r="K30" i="8"/>
  <c r="K33" i="8"/>
  <c r="D16" i="9"/>
  <c r="T16" i="9" s="1"/>
  <c r="T31" i="9" s="1"/>
  <c r="T35" i="9" s="1"/>
  <c r="J21" i="9"/>
  <c r="F22" i="9"/>
  <c r="N22" i="9"/>
  <c r="F24" i="9"/>
  <c r="N24" i="9"/>
  <c r="G20" i="10"/>
  <c r="O20" i="10"/>
  <c r="J21" i="10"/>
  <c r="J25" i="10" s="1"/>
  <c r="F22" i="10"/>
  <c r="N22" i="10"/>
  <c r="J23" i="10"/>
  <c r="D27" i="10"/>
  <c r="L27" i="10"/>
  <c r="H51" i="11"/>
  <c r="H52" i="11"/>
  <c r="H20" i="11"/>
  <c r="G22" i="11"/>
  <c r="O22" i="11"/>
  <c r="G24" i="11"/>
  <c r="I22" i="12"/>
  <c r="L28" i="12"/>
  <c r="L31" i="12"/>
  <c r="L35" i="12" s="1"/>
  <c r="L17" i="12"/>
  <c r="L27" i="12"/>
  <c r="L29" i="12"/>
  <c r="L32" i="12"/>
  <c r="K32" i="12"/>
  <c r="F48" i="12"/>
  <c r="I27" i="13"/>
  <c r="D16" i="7"/>
  <c r="I20" i="7"/>
  <c r="D21" i="7"/>
  <c r="L21" i="7"/>
  <c r="H22" i="7"/>
  <c r="H26" i="7" s="1"/>
  <c r="D16" i="8"/>
  <c r="I20" i="8"/>
  <c r="H22" i="8"/>
  <c r="H26" i="8" s="1"/>
  <c r="K28" i="8"/>
  <c r="H20" i="9"/>
  <c r="K21" i="9"/>
  <c r="G22" i="9"/>
  <c r="O22" i="9"/>
  <c r="G24" i="9"/>
  <c r="L48" i="9"/>
  <c r="P11" i="10"/>
  <c r="R9" i="10" s="1"/>
  <c r="K16" i="10"/>
  <c r="K23" i="10" s="1"/>
  <c r="H20" i="10"/>
  <c r="K21" i="10"/>
  <c r="G22" i="10"/>
  <c r="O22" i="10"/>
  <c r="G24" i="10"/>
  <c r="D31" i="10"/>
  <c r="D35" i="10" s="1"/>
  <c r="L31" i="10"/>
  <c r="L35" i="10" s="1"/>
  <c r="I51" i="11"/>
  <c r="I52" i="11"/>
  <c r="D16" i="11"/>
  <c r="I20" i="11"/>
  <c r="H22" i="11"/>
  <c r="H24" i="11"/>
  <c r="E31" i="12"/>
  <c r="E35" i="12" s="1"/>
  <c r="E17" i="12"/>
  <c r="E27" i="12"/>
  <c r="E29" i="12"/>
  <c r="E32" i="12"/>
  <c r="E28" i="12"/>
  <c r="M28" i="12"/>
  <c r="M31" i="12"/>
  <c r="M35" i="12" s="1"/>
  <c r="M17" i="12"/>
  <c r="M27" i="12"/>
  <c r="M29" i="12"/>
  <c r="M32" i="12"/>
  <c r="N48" i="12"/>
  <c r="J29" i="13"/>
  <c r="J32" i="13"/>
  <c r="J31" i="13"/>
  <c r="J17" i="13"/>
  <c r="J20" i="7"/>
  <c r="E21" i="7"/>
  <c r="E25" i="7" s="1"/>
  <c r="E49" i="7" s="1"/>
  <c r="M21" i="7"/>
  <c r="M25" i="7" s="1"/>
  <c r="M53" i="7" s="1"/>
  <c r="I22" i="7"/>
  <c r="I26" i="7" s="1"/>
  <c r="J20" i="8"/>
  <c r="I22" i="8"/>
  <c r="I26" i="8" s="1"/>
  <c r="E30" i="8"/>
  <c r="M30" i="8"/>
  <c r="K32" i="8"/>
  <c r="E33" i="8"/>
  <c r="M33" i="8"/>
  <c r="D21" i="9"/>
  <c r="D48" i="9" s="1"/>
  <c r="L21" i="9"/>
  <c r="H22" i="9"/>
  <c r="M48" i="9"/>
  <c r="I20" i="10"/>
  <c r="D21" i="10"/>
  <c r="D25" i="10" s="1"/>
  <c r="L21" i="10"/>
  <c r="H22" i="10"/>
  <c r="D23" i="10"/>
  <c r="G48" i="10"/>
  <c r="O48" i="10"/>
  <c r="J51" i="11"/>
  <c r="J52" i="11"/>
  <c r="E31" i="11"/>
  <c r="E35" i="11" s="1"/>
  <c r="E27" i="11"/>
  <c r="E32" i="11"/>
  <c r="E29" i="11"/>
  <c r="E28" i="11"/>
  <c r="M31" i="11"/>
  <c r="M35" i="11" s="1"/>
  <c r="M27" i="11"/>
  <c r="M32" i="11"/>
  <c r="M29" i="11"/>
  <c r="J20" i="11"/>
  <c r="I22" i="11"/>
  <c r="I24" i="11"/>
  <c r="R12" i="12"/>
  <c r="F16" i="12"/>
  <c r="J22" i="12"/>
  <c r="K21" i="13"/>
  <c r="K48" i="13" s="1"/>
  <c r="O32" i="13"/>
  <c r="O28" i="13"/>
  <c r="O31" i="13"/>
  <c r="O35" i="13" s="1"/>
  <c r="O17" i="13"/>
  <c r="O27" i="13"/>
  <c r="O29" i="13"/>
  <c r="O24" i="13"/>
  <c r="O3" i="7"/>
  <c r="K20" i="7"/>
  <c r="F21" i="7"/>
  <c r="N21" i="7"/>
  <c r="N25" i="7" s="1"/>
  <c r="N53" i="7" s="1"/>
  <c r="J22" i="7"/>
  <c r="J26" i="7" s="1"/>
  <c r="K42" i="7"/>
  <c r="I49" i="7"/>
  <c r="E53" i="7"/>
  <c r="K20" i="8"/>
  <c r="J22" i="8"/>
  <c r="J26" i="8" s="1"/>
  <c r="E28" i="8"/>
  <c r="M28" i="8"/>
  <c r="J20" i="9"/>
  <c r="E21" i="9"/>
  <c r="E48" i="9" s="1"/>
  <c r="M21" i="9"/>
  <c r="I22" i="9"/>
  <c r="J20" i="10"/>
  <c r="E21" i="10"/>
  <c r="E25" i="10" s="1"/>
  <c r="M21" i="10"/>
  <c r="M25" i="10" s="1"/>
  <c r="I22" i="10"/>
  <c r="E23" i="10"/>
  <c r="M23" i="10"/>
  <c r="O3" i="11"/>
  <c r="K51" i="11"/>
  <c r="K52" i="11"/>
  <c r="K20" i="11"/>
  <c r="F21" i="11"/>
  <c r="J22" i="11"/>
  <c r="J24" i="11"/>
  <c r="R10" i="12"/>
  <c r="G31" i="12"/>
  <c r="G35" i="12" s="1"/>
  <c r="G17" i="12"/>
  <c r="G27" i="12"/>
  <c r="G29" i="12"/>
  <c r="G32" i="12"/>
  <c r="G28" i="12"/>
  <c r="O31" i="12"/>
  <c r="O35" i="12" s="1"/>
  <c r="O17" i="12"/>
  <c r="O27" i="12"/>
  <c r="O29" i="12"/>
  <c r="O32" i="12"/>
  <c r="F24" i="13"/>
  <c r="N24" i="13"/>
  <c r="L28" i="13"/>
  <c r="L31" i="13"/>
  <c r="L35" i="13" s="1"/>
  <c r="L17" i="13"/>
  <c r="L27" i="13"/>
  <c r="L29" i="13"/>
  <c r="L24" i="13"/>
  <c r="D20" i="7"/>
  <c r="L20" i="7"/>
  <c r="G21" i="7"/>
  <c r="G25" i="7" s="1"/>
  <c r="G53" i="7" s="1"/>
  <c r="O21" i="7"/>
  <c r="K22" i="7"/>
  <c r="K26" i="7" s="1"/>
  <c r="J49" i="7"/>
  <c r="K22" i="8"/>
  <c r="K26" i="8" s="1"/>
  <c r="M32" i="8"/>
  <c r="M36" i="8" s="1"/>
  <c r="P12" i="9"/>
  <c r="K20" i="9"/>
  <c r="F21" i="9"/>
  <c r="N21" i="9"/>
  <c r="N25" i="9" s="1"/>
  <c r="J22" i="9"/>
  <c r="F16" i="10"/>
  <c r="O23" i="10" s="1"/>
  <c r="F21" i="10"/>
  <c r="F25" i="10" s="1"/>
  <c r="N21" i="10"/>
  <c r="N25" i="10" s="1"/>
  <c r="F23" i="10"/>
  <c r="D51" i="11"/>
  <c r="P55" i="11" s="1"/>
  <c r="H48" i="11"/>
  <c r="D52" i="11"/>
  <c r="N48" i="11"/>
  <c r="F48" i="11"/>
  <c r="M48" i="11"/>
  <c r="E48" i="11"/>
  <c r="L48" i="11"/>
  <c r="D48" i="11"/>
  <c r="J48" i="11"/>
  <c r="L51" i="11"/>
  <c r="L52" i="11"/>
  <c r="J17" i="11"/>
  <c r="D20" i="11"/>
  <c r="L20" i="11"/>
  <c r="G21" i="11"/>
  <c r="G48" i="11" s="1"/>
  <c r="O21" i="11"/>
  <c r="K22" i="11"/>
  <c r="K24" i="11"/>
  <c r="G52" i="11"/>
  <c r="M21" i="12"/>
  <c r="M48" i="12" s="1"/>
  <c r="E21" i="12"/>
  <c r="E48" i="12" s="1"/>
  <c r="L21" i="12"/>
  <c r="D21" i="12"/>
  <c r="K21" i="12"/>
  <c r="J21" i="12"/>
  <c r="J48" i="12" s="1"/>
  <c r="P11" i="12"/>
  <c r="I21" i="12"/>
  <c r="D24" i="12"/>
  <c r="H21" i="12"/>
  <c r="O21" i="12"/>
  <c r="O48" i="12" s="1"/>
  <c r="G21" i="12"/>
  <c r="D20" i="12"/>
  <c r="L24" i="12"/>
  <c r="L20" i="12"/>
  <c r="H27" i="12"/>
  <c r="H29" i="12"/>
  <c r="H32" i="12"/>
  <c r="H28" i="12"/>
  <c r="H17" i="12"/>
  <c r="M32" i="13"/>
  <c r="M28" i="13"/>
  <c r="M31" i="13"/>
  <c r="M35" i="13" s="1"/>
  <c r="M17" i="13"/>
  <c r="M27" i="13"/>
  <c r="M29" i="13"/>
  <c r="I33" i="13"/>
  <c r="I34" i="13"/>
  <c r="I30" i="13"/>
  <c r="P12" i="7"/>
  <c r="H21" i="7"/>
  <c r="H25" i="7" s="1"/>
  <c r="H53" i="7" s="1"/>
  <c r="D22" i="7"/>
  <c r="D26" i="7" s="1"/>
  <c r="D24" i="7"/>
  <c r="D22" i="8"/>
  <c r="D26" i="8" s="1"/>
  <c r="P11" i="9"/>
  <c r="D20" i="9"/>
  <c r="G21" i="9"/>
  <c r="O21" i="9"/>
  <c r="O25" i="9" s="1"/>
  <c r="D20" i="10"/>
  <c r="G21" i="10"/>
  <c r="O21" i="10"/>
  <c r="O25" i="10" s="1"/>
  <c r="G23" i="10"/>
  <c r="M52" i="11"/>
  <c r="M24" i="11"/>
  <c r="E20" i="11"/>
  <c r="M20" i="11"/>
  <c r="H21" i="11"/>
  <c r="D22" i="11"/>
  <c r="D24" i="11"/>
  <c r="L24" i="11"/>
  <c r="O52" i="11"/>
  <c r="I29" i="12"/>
  <c r="I32" i="12"/>
  <c r="I31" i="12"/>
  <c r="I17" i="12"/>
  <c r="N32" i="13"/>
  <c r="N28" i="13"/>
  <c r="N31" i="13"/>
  <c r="N35" i="13" s="1"/>
  <c r="N17" i="13"/>
  <c r="N27" i="13"/>
  <c r="N29" i="13"/>
  <c r="J27" i="13"/>
  <c r="K22" i="12"/>
  <c r="E20" i="13"/>
  <c r="M20" i="13"/>
  <c r="H21" i="13"/>
  <c r="D22" i="13"/>
  <c r="L22" i="13"/>
  <c r="K27" i="13"/>
  <c r="I29" i="14"/>
  <c r="I32" i="14"/>
  <c r="I31" i="14"/>
  <c r="F31" i="14"/>
  <c r="F35" i="14" s="1"/>
  <c r="F27" i="14"/>
  <c r="F17" i="14"/>
  <c r="F29" i="14"/>
  <c r="F32" i="14"/>
  <c r="F28" i="14"/>
  <c r="I17" i="14"/>
  <c r="N23" i="14"/>
  <c r="F31" i="15"/>
  <c r="F35" i="15" s="1"/>
  <c r="F17" i="15"/>
  <c r="F27" i="15"/>
  <c r="F29" i="15"/>
  <c r="F32" i="15"/>
  <c r="F28" i="15"/>
  <c r="J24" i="17"/>
  <c r="J20" i="17"/>
  <c r="E20" i="12"/>
  <c r="M20" i="12"/>
  <c r="L22" i="12"/>
  <c r="P12" i="13"/>
  <c r="V12" i="11" s="1"/>
  <c r="K33" i="13"/>
  <c r="K34" i="13"/>
  <c r="I21" i="13"/>
  <c r="E22" i="13"/>
  <c r="M22" i="13"/>
  <c r="E24" i="13"/>
  <c r="K31" i="13"/>
  <c r="J32" i="14"/>
  <c r="J31" i="14"/>
  <c r="J27" i="14"/>
  <c r="J17" i="14"/>
  <c r="O31" i="15"/>
  <c r="O35" i="15" s="1"/>
  <c r="O17" i="15"/>
  <c r="O27" i="15"/>
  <c r="O29" i="15"/>
  <c r="O32" i="15"/>
  <c r="F20" i="12"/>
  <c r="N20" i="12"/>
  <c r="E22" i="12"/>
  <c r="M22" i="12"/>
  <c r="K41" i="12"/>
  <c r="J48" i="13"/>
  <c r="O48" i="13"/>
  <c r="G48" i="13"/>
  <c r="N48" i="13"/>
  <c r="E48" i="13"/>
  <c r="J21" i="13"/>
  <c r="F22" i="13"/>
  <c r="N22" i="13"/>
  <c r="H28" i="13"/>
  <c r="K31" i="14"/>
  <c r="K27" i="14"/>
  <c r="K17" i="14"/>
  <c r="K29" i="14"/>
  <c r="T10" i="16"/>
  <c r="G20" i="12"/>
  <c r="O20" i="12"/>
  <c r="F22" i="12"/>
  <c r="N22" i="12"/>
  <c r="E34" i="13"/>
  <c r="E33" i="13"/>
  <c r="G22" i="13"/>
  <c r="O22" i="13"/>
  <c r="H32" i="13"/>
  <c r="R12" i="14"/>
  <c r="I24" i="15"/>
  <c r="I20" i="15"/>
  <c r="O3" i="15"/>
  <c r="N21" i="15"/>
  <c r="H20" i="12"/>
  <c r="G22" i="12"/>
  <c r="O22" i="12"/>
  <c r="D16" i="13"/>
  <c r="D21" i="13"/>
  <c r="L21" i="13"/>
  <c r="L48" i="13" s="1"/>
  <c r="H22" i="13"/>
  <c r="H29" i="13"/>
  <c r="K30" i="13"/>
  <c r="I32" i="13"/>
  <c r="H24" i="14"/>
  <c r="H20" i="14"/>
  <c r="P11" i="14"/>
  <c r="R10" i="14" s="1"/>
  <c r="I27" i="14"/>
  <c r="K32" i="14"/>
  <c r="O28" i="15"/>
  <c r="D16" i="12"/>
  <c r="I20" i="12"/>
  <c r="H22" i="12"/>
  <c r="J20" i="13"/>
  <c r="E21" i="13"/>
  <c r="M21" i="13"/>
  <c r="M48" i="13" s="1"/>
  <c r="I22" i="13"/>
  <c r="H27" i="13"/>
  <c r="I29" i="13"/>
  <c r="N28" i="14"/>
  <c r="N31" i="14"/>
  <c r="N35" i="14" s="1"/>
  <c r="N27" i="14"/>
  <c r="N17" i="14"/>
  <c r="N29" i="14"/>
  <c r="N32" i="14"/>
  <c r="N21" i="14"/>
  <c r="G31" i="15"/>
  <c r="G35" i="15" s="1"/>
  <c r="G17" i="15"/>
  <c r="G27" i="15"/>
  <c r="G29" i="15"/>
  <c r="G32" i="15"/>
  <c r="G28" i="15"/>
  <c r="N28" i="15"/>
  <c r="N31" i="15"/>
  <c r="N35" i="15" s="1"/>
  <c r="N17" i="15"/>
  <c r="N27" i="15"/>
  <c r="N29" i="15"/>
  <c r="N32" i="15"/>
  <c r="F23" i="15"/>
  <c r="T9" i="17"/>
  <c r="P11" i="13"/>
  <c r="H17" i="13"/>
  <c r="F21" i="13"/>
  <c r="F25" i="13" s="1"/>
  <c r="N21" i="13"/>
  <c r="E30" i="13"/>
  <c r="R9" i="14"/>
  <c r="E31" i="14"/>
  <c r="E35" i="14" s="1"/>
  <c r="E27" i="14"/>
  <c r="E17" i="14"/>
  <c r="E29" i="14"/>
  <c r="E32" i="14"/>
  <c r="E28" i="14"/>
  <c r="K48" i="15"/>
  <c r="H27" i="15"/>
  <c r="H29" i="15"/>
  <c r="H32" i="15"/>
  <c r="H28" i="15"/>
  <c r="M23" i="15"/>
  <c r="H17" i="15"/>
  <c r="N23" i="15"/>
  <c r="D20" i="14"/>
  <c r="L20" i="14"/>
  <c r="G21" i="14"/>
  <c r="G48" i="14" s="1"/>
  <c r="O21" i="14"/>
  <c r="K22" i="14"/>
  <c r="G23" i="14"/>
  <c r="O23" i="14"/>
  <c r="D32" i="14"/>
  <c r="L32" i="14"/>
  <c r="G33" i="14"/>
  <c r="O33" i="14"/>
  <c r="F48" i="14"/>
  <c r="R12" i="15"/>
  <c r="I17" i="15"/>
  <c r="D20" i="15"/>
  <c r="L20" i="15"/>
  <c r="G21" i="15"/>
  <c r="G48" i="15" s="1"/>
  <c r="O21" i="15"/>
  <c r="O48" i="15" s="1"/>
  <c r="K22" i="15"/>
  <c r="G23" i="15"/>
  <c r="O23" i="15"/>
  <c r="E28" i="15"/>
  <c r="K29" i="15"/>
  <c r="I31" i="15"/>
  <c r="D32" i="15"/>
  <c r="L32" i="15"/>
  <c r="P11" i="16"/>
  <c r="V10" i="16" s="1"/>
  <c r="F17" i="16"/>
  <c r="N17" i="16"/>
  <c r="I20" i="16"/>
  <c r="D21" i="16"/>
  <c r="L21" i="16"/>
  <c r="D23" i="16"/>
  <c r="L23" i="16"/>
  <c r="H24" i="16"/>
  <c r="G27" i="16"/>
  <c r="O27" i="16"/>
  <c r="M28" i="16"/>
  <c r="H29" i="16"/>
  <c r="F31" i="16"/>
  <c r="F35" i="16" s="1"/>
  <c r="N31" i="16"/>
  <c r="N35" i="16" s="1"/>
  <c r="H32" i="16"/>
  <c r="F20" i="17"/>
  <c r="F24" i="17"/>
  <c r="N20" i="17"/>
  <c r="N24" i="17"/>
  <c r="R12" i="17"/>
  <c r="K31" i="17"/>
  <c r="O24" i="17"/>
  <c r="H33" i="18"/>
  <c r="H30" i="18"/>
  <c r="H34" i="18"/>
  <c r="K42" i="18"/>
  <c r="D42" i="18"/>
  <c r="N40" i="18"/>
  <c r="P16" i="14"/>
  <c r="E20" i="14"/>
  <c r="M20" i="14"/>
  <c r="H21" i="14"/>
  <c r="D22" i="14"/>
  <c r="L22" i="14"/>
  <c r="H23" i="14"/>
  <c r="D24" i="14"/>
  <c r="D29" i="14"/>
  <c r="L29" i="14"/>
  <c r="G30" i="14"/>
  <c r="O30" i="14"/>
  <c r="M32" i="14"/>
  <c r="R10" i="15"/>
  <c r="P16" i="15"/>
  <c r="E20" i="15"/>
  <c r="M20" i="15"/>
  <c r="H21" i="15"/>
  <c r="D22" i="15"/>
  <c r="L22" i="15"/>
  <c r="H23" i="15"/>
  <c r="D24" i="15"/>
  <c r="K27" i="15"/>
  <c r="D29" i="15"/>
  <c r="L29" i="15"/>
  <c r="E32" i="15"/>
  <c r="M32" i="15"/>
  <c r="K34" i="15"/>
  <c r="F48" i="15"/>
  <c r="N48" i="15"/>
  <c r="M21" i="16"/>
  <c r="E23" i="16"/>
  <c r="M23" i="16"/>
  <c r="H27" i="16"/>
  <c r="N28" i="16"/>
  <c r="G34" i="16"/>
  <c r="O34" i="16"/>
  <c r="L27" i="17"/>
  <c r="L32" i="17"/>
  <c r="L29" i="17"/>
  <c r="L31" i="17"/>
  <c r="L35" i="17" s="1"/>
  <c r="L17" i="17"/>
  <c r="O3" i="18"/>
  <c r="I24" i="18"/>
  <c r="M21" i="18"/>
  <c r="L21" i="18"/>
  <c r="L25" i="18" s="1"/>
  <c r="D17" i="14"/>
  <c r="L17" i="14"/>
  <c r="F20" i="14"/>
  <c r="N20" i="14"/>
  <c r="I21" i="14"/>
  <c r="I48" i="14" s="1"/>
  <c r="E22" i="14"/>
  <c r="M22" i="14"/>
  <c r="I23" i="14"/>
  <c r="D27" i="14"/>
  <c r="L27" i="14"/>
  <c r="G28" i="14"/>
  <c r="M29" i="14"/>
  <c r="H48" i="14"/>
  <c r="F20" i="15"/>
  <c r="N20" i="15"/>
  <c r="I21" i="15"/>
  <c r="E22" i="15"/>
  <c r="M22" i="15"/>
  <c r="I23" i="15"/>
  <c r="D27" i="15"/>
  <c r="L27" i="15"/>
  <c r="E29" i="15"/>
  <c r="M29" i="15"/>
  <c r="P9" i="16"/>
  <c r="N21" i="16"/>
  <c r="F23" i="16"/>
  <c r="N23" i="16"/>
  <c r="I27" i="16"/>
  <c r="O28" i="16"/>
  <c r="H34" i="16"/>
  <c r="P10" i="17"/>
  <c r="G28" i="19"/>
  <c r="G29" i="19"/>
  <c r="G31" i="19"/>
  <c r="G35" i="19" s="1"/>
  <c r="G27" i="19"/>
  <c r="G17" i="19"/>
  <c r="M17" i="14"/>
  <c r="G20" i="14"/>
  <c r="O20" i="14"/>
  <c r="J21" i="14"/>
  <c r="J48" i="14" s="1"/>
  <c r="F22" i="14"/>
  <c r="N22" i="14"/>
  <c r="J23" i="14"/>
  <c r="M27" i="14"/>
  <c r="H28" i="14"/>
  <c r="D31" i="14"/>
  <c r="D35" i="14" s="1"/>
  <c r="L31" i="14"/>
  <c r="L35" i="14" s="1"/>
  <c r="G32" i="14"/>
  <c r="O32" i="14"/>
  <c r="D17" i="15"/>
  <c r="L17" i="15"/>
  <c r="G20" i="15"/>
  <c r="O20" i="15"/>
  <c r="J21" i="15"/>
  <c r="F22" i="15"/>
  <c r="N22" i="15"/>
  <c r="J23" i="15"/>
  <c r="E27" i="15"/>
  <c r="M27" i="15"/>
  <c r="D31" i="15"/>
  <c r="D35" i="15" s="1"/>
  <c r="L31" i="15"/>
  <c r="L35" i="15" s="1"/>
  <c r="H48" i="15"/>
  <c r="R9" i="16"/>
  <c r="P16" i="16"/>
  <c r="D20" i="16"/>
  <c r="L20" i="16"/>
  <c r="G21" i="16"/>
  <c r="O21" i="16"/>
  <c r="G23" i="16"/>
  <c r="O23" i="16"/>
  <c r="E28" i="16"/>
  <c r="K29" i="16"/>
  <c r="K32" i="16"/>
  <c r="R10" i="17"/>
  <c r="I11" i="17"/>
  <c r="M21" i="17" s="1"/>
  <c r="M25" i="17" s="1"/>
  <c r="R11" i="17"/>
  <c r="D27" i="17"/>
  <c r="D32" i="17"/>
  <c r="D29" i="17"/>
  <c r="D28" i="17"/>
  <c r="E23" i="17"/>
  <c r="D23" i="17"/>
  <c r="D31" i="17"/>
  <c r="D35" i="17" s="1"/>
  <c r="D17" i="17"/>
  <c r="N27" i="17"/>
  <c r="R14" i="18"/>
  <c r="T13" i="18"/>
  <c r="H16" i="19"/>
  <c r="M21" i="19"/>
  <c r="H20" i="19"/>
  <c r="P11" i="19"/>
  <c r="D25" i="18" s="1"/>
  <c r="H238" i="23"/>
  <c r="H114" i="23"/>
  <c r="K41" i="13"/>
  <c r="K21" i="14"/>
  <c r="G22" i="14"/>
  <c r="O22" i="14"/>
  <c r="K23" i="14"/>
  <c r="G29" i="14"/>
  <c r="O29" i="14"/>
  <c r="M31" i="14"/>
  <c r="M35" i="14" s="1"/>
  <c r="H32" i="14"/>
  <c r="E17" i="15"/>
  <c r="M17" i="15"/>
  <c r="H20" i="15"/>
  <c r="K21" i="15"/>
  <c r="K25" i="15" s="1"/>
  <c r="G22" i="15"/>
  <c r="O22" i="15"/>
  <c r="K23" i="15"/>
  <c r="M31" i="15"/>
  <c r="M35" i="15" s="1"/>
  <c r="K33" i="15"/>
  <c r="K41" i="15"/>
  <c r="E20" i="16"/>
  <c r="M20" i="16"/>
  <c r="H21" i="16"/>
  <c r="H23" i="16"/>
  <c r="D24" i="16"/>
  <c r="K27" i="16"/>
  <c r="F28" i="16"/>
  <c r="D29" i="16"/>
  <c r="L29" i="16"/>
  <c r="G30" i="16"/>
  <c r="O30" i="16"/>
  <c r="J31" i="16"/>
  <c r="D32" i="16"/>
  <c r="L32" i="16"/>
  <c r="L28" i="17"/>
  <c r="J21" i="18"/>
  <c r="I20" i="14"/>
  <c r="D21" i="14"/>
  <c r="L21" i="14"/>
  <c r="H22" i="14"/>
  <c r="D23" i="14"/>
  <c r="L23" i="14"/>
  <c r="G27" i="14"/>
  <c r="O27" i="14"/>
  <c r="H29" i="14"/>
  <c r="D21" i="15"/>
  <c r="L21" i="15"/>
  <c r="H22" i="15"/>
  <c r="D23" i="15"/>
  <c r="L23" i="15"/>
  <c r="I32" i="15"/>
  <c r="K17" i="16"/>
  <c r="F20" i="16"/>
  <c r="N20" i="16"/>
  <c r="I21" i="16"/>
  <c r="I23" i="16"/>
  <c r="D27" i="16"/>
  <c r="L27" i="16"/>
  <c r="E29" i="16"/>
  <c r="M29" i="16"/>
  <c r="H30" i="16"/>
  <c r="E32" i="16"/>
  <c r="M32" i="16"/>
  <c r="R9" i="17"/>
  <c r="K24" i="17"/>
  <c r="K20" i="17"/>
  <c r="M22" i="17"/>
  <c r="L22" i="17"/>
  <c r="K22" i="17"/>
  <c r="J22" i="17"/>
  <c r="I22" i="17"/>
  <c r="F16" i="17"/>
  <c r="O23" i="17" s="1"/>
  <c r="H22" i="17"/>
  <c r="N22" i="17"/>
  <c r="F22" i="17"/>
  <c r="E33" i="17"/>
  <c r="E30" i="17"/>
  <c r="O22" i="17"/>
  <c r="E34" i="17"/>
  <c r="R9" i="19"/>
  <c r="F31" i="21"/>
  <c r="F35" i="21" s="1"/>
  <c r="F29" i="21"/>
  <c r="F32" i="21"/>
  <c r="F27" i="21"/>
  <c r="F17" i="21"/>
  <c r="F28" i="21"/>
  <c r="N28" i="21"/>
  <c r="N31" i="21"/>
  <c r="N35" i="21" s="1"/>
  <c r="N29" i="21"/>
  <c r="N32" i="21"/>
  <c r="N27" i="21"/>
  <c r="N17" i="21"/>
  <c r="H17" i="14"/>
  <c r="E21" i="14"/>
  <c r="M21" i="14"/>
  <c r="E23" i="14"/>
  <c r="P11" i="15"/>
  <c r="E21" i="15"/>
  <c r="E25" i="15" s="1"/>
  <c r="M21" i="15"/>
  <c r="M48" i="15" s="1"/>
  <c r="E23" i="15"/>
  <c r="R12" i="16"/>
  <c r="D17" i="16"/>
  <c r="L17" i="16"/>
  <c r="O20" i="16"/>
  <c r="J23" i="16"/>
  <c r="F24" i="16"/>
  <c r="E27" i="16"/>
  <c r="F29" i="16"/>
  <c r="N29" i="16"/>
  <c r="L31" i="16"/>
  <c r="L35" i="16" s="1"/>
  <c r="F32" i="16"/>
  <c r="N32" i="16"/>
  <c r="D24" i="17"/>
  <c r="H21" i="17"/>
  <c r="O21" i="17"/>
  <c r="G21" i="17"/>
  <c r="D20" i="17"/>
  <c r="F21" i="17"/>
  <c r="E21" i="17"/>
  <c r="L21" i="17"/>
  <c r="D21" i="17"/>
  <c r="J21" i="17"/>
  <c r="L24" i="17"/>
  <c r="L20" i="17"/>
  <c r="J31" i="17"/>
  <c r="J17" i="17"/>
  <c r="J27" i="17"/>
  <c r="J32" i="17"/>
  <c r="J29" i="17"/>
  <c r="H31" i="17"/>
  <c r="H35" i="17" s="1"/>
  <c r="M33" i="17"/>
  <c r="M30" i="17"/>
  <c r="M34" i="17"/>
  <c r="E27" i="18"/>
  <c r="E32" i="18"/>
  <c r="E29" i="18"/>
  <c r="E17" i="18"/>
  <c r="E28" i="18"/>
  <c r="E31" i="18"/>
  <c r="E35" i="18" s="1"/>
  <c r="O28" i="18"/>
  <c r="O31" i="18"/>
  <c r="O35" i="18" s="1"/>
  <c r="O32" i="18"/>
  <c r="O29" i="18"/>
  <c r="O17" i="18"/>
  <c r="I20" i="18"/>
  <c r="M32" i="19"/>
  <c r="M29" i="19"/>
  <c r="M27" i="19"/>
  <c r="M28" i="19"/>
  <c r="M17" i="19"/>
  <c r="M31" i="19"/>
  <c r="M35" i="19" s="1"/>
  <c r="H24" i="19"/>
  <c r="H27" i="20"/>
  <c r="H24" i="20"/>
  <c r="H20" i="20"/>
  <c r="D25" i="20"/>
  <c r="E17" i="16"/>
  <c r="K23" i="16"/>
  <c r="O29" i="16"/>
  <c r="M31" i="16"/>
  <c r="M35" i="16" s="1"/>
  <c r="E24" i="17"/>
  <c r="E20" i="17"/>
  <c r="M24" i="17"/>
  <c r="M20" i="17"/>
  <c r="G24" i="17"/>
  <c r="J21" i="19"/>
  <c r="L21" i="19"/>
  <c r="K42" i="19"/>
  <c r="K41" i="19"/>
  <c r="G232" i="23"/>
  <c r="G248" i="23" s="1"/>
  <c r="G48" i="23"/>
  <c r="O232" i="23"/>
  <c r="O248" i="23" s="1"/>
  <c r="O48" i="23"/>
  <c r="E27" i="17"/>
  <c r="M27" i="17"/>
  <c r="H28" i="17"/>
  <c r="N29" i="17"/>
  <c r="N32" i="17"/>
  <c r="P11" i="18"/>
  <c r="D16" i="18"/>
  <c r="H20" i="18"/>
  <c r="K21" i="18"/>
  <c r="G24" i="18"/>
  <c r="O24" i="18"/>
  <c r="F27" i="18"/>
  <c r="N27" i="18"/>
  <c r="L28" i="18"/>
  <c r="G29" i="18"/>
  <c r="J30" i="18"/>
  <c r="M31" i="18"/>
  <c r="M35" i="18" s="1"/>
  <c r="G32" i="18"/>
  <c r="J33" i="18"/>
  <c r="L31" i="19"/>
  <c r="L35" i="19" s="1"/>
  <c r="L32" i="19"/>
  <c r="L29" i="19"/>
  <c r="L27" i="19"/>
  <c r="K21" i="19"/>
  <c r="G24" i="19"/>
  <c r="O24" i="19"/>
  <c r="T31" i="19"/>
  <c r="T35" i="19" s="1"/>
  <c r="G28" i="20"/>
  <c r="G31" i="20"/>
  <c r="G35" i="20" s="1"/>
  <c r="G29" i="20"/>
  <c r="G32" i="20"/>
  <c r="G17" i="20"/>
  <c r="O16" i="20"/>
  <c r="O20" i="20"/>
  <c r="F232" i="23"/>
  <c r="F248" i="23" s="1"/>
  <c r="F48" i="23"/>
  <c r="N48" i="23"/>
  <c r="L103" i="23"/>
  <c r="F114" i="23"/>
  <c r="F238" i="23"/>
  <c r="N238" i="23"/>
  <c r="N114" i="23"/>
  <c r="G238" i="23"/>
  <c r="G114" i="23"/>
  <c r="G243" i="23"/>
  <c r="G169" i="23"/>
  <c r="O169" i="23"/>
  <c r="O243" i="23"/>
  <c r="N17" i="17"/>
  <c r="G27" i="17"/>
  <c r="O27" i="17"/>
  <c r="M28" i="17"/>
  <c r="H29" i="17"/>
  <c r="N31" i="17"/>
  <c r="N35" i="17" s="1"/>
  <c r="H32" i="17"/>
  <c r="J20" i="18"/>
  <c r="G31" i="18"/>
  <c r="G35" i="18" s="1"/>
  <c r="I32" i="18"/>
  <c r="G34" i="18"/>
  <c r="D31" i="19"/>
  <c r="D35" i="19" s="1"/>
  <c r="D32" i="19"/>
  <c r="D29" i="19"/>
  <c r="N32" i="19"/>
  <c r="N29" i="19"/>
  <c r="N27" i="19"/>
  <c r="N31" i="19"/>
  <c r="N35" i="19" s="1"/>
  <c r="I33" i="19"/>
  <c r="I24" i="19"/>
  <c r="N28" i="19"/>
  <c r="M22" i="20"/>
  <c r="L22" i="20"/>
  <c r="K22" i="20"/>
  <c r="J22" i="20"/>
  <c r="I22" i="20"/>
  <c r="N22" i="20"/>
  <c r="F22" i="20"/>
  <c r="P12" i="20"/>
  <c r="R12" i="20" s="1"/>
  <c r="O31" i="21"/>
  <c r="O35" i="21" s="1"/>
  <c r="O29" i="21"/>
  <c r="O32" i="21"/>
  <c r="O27" i="21"/>
  <c r="O17" i="21"/>
  <c r="O28" i="21"/>
  <c r="E230" i="24"/>
  <c r="E15" i="24"/>
  <c r="G17" i="17"/>
  <c r="O17" i="17"/>
  <c r="H27" i="17"/>
  <c r="I29" i="17"/>
  <c r="G31" i="17"/>
  <c r="G35" i="17" s="1"/>
  <c r="O31" i="17"/>
  <c r="O35" i="17" s="1"/>
  <c r="I32" i="17"/>
  <c r="K41" i="17"/>
  <c r="K20" i="18"/>
  <c r="F21" i="18"/>
  <c r="N21" i="18"/>
  <c r="J24" i="18"/>
  <c r="I27" i="18"/>
  <c r="H31" i="18"/>
  <c r="H35" i="18" s="1"/>
  <c r="E16" i="19"/>
  <c r="O16" i="19"/>
  <c r="K20" i="19"/>
  <c r="F21" i="19"/>
  <c r="N21" i="19"/>
  <c r="K27" i="19"/>
  <c r="I29" i="20"/>
  <c r="I32" i="20"/>
  <c r="I17" i="20"/>
  <c r="I27" i="20"/>
  <c r="I31" i="20"/>
  <c r="I35" i="20" s="1"/>
  <c r="G27" i="20"/>
  <c r="H24" i="21"/>
  <c r="L21" i="21"/>
  <c r="T11" i="21"/>
  <c r="P11" i="21"/>
  <c r="P99" i="23"/>
  <c r="D102" i="23"/>
  <c r="L237" i="23"/>
  <c r="O103" i="24"/>
  <c r="O238" i="24"/>
  <c r="O254" i="24" s="1"/>
  <c r="H17" i="17"/>
  <c r="D20" i="18"/>
  <c r="L20" i="18"/>
  <c r="G21" i="18"/>
  <c r="O21" i="18"/>
  <c r="K24" i="18"/>
  <c r="I34" i="18"/>
  <c r="F32" i="19"/>
  <c r="F29" i="19"/>
  <c r="K34" i="19"/>
  <c r="K33" i="19"/>
  <c r="K30" i="19"/>
  <c r="G21" i="19"/>
  <c r="O21" i="19"/>
  <c r="T12" i="20"/>
  <c r="U12" i="20" s="1"/>
  <c r="W12" i="20" s="1"/>
  <c r="I24" i="21"/>
  <c r="I20" i="21"/>
  <c r="J21" i="21"/>
  <c r="I14" i="23"/>
  <c r="I15" i="23" s="1"/>
  <c r="K3" i="23"/>
  <c r="G25" i="23" s="1"/>
  <c r="F231" i="23"/>
  <c r="F247" i="23" s="1"/>
  <c r="F37" i="23"/>
  <c r="I17" i="17"/>
  <c r="E28" i="17"/>
  <c r="K29" i="17"/>
  <c r="K32" i="17"/>
  <c r="R12" i="18"/>
  <c r="L17" i="18"/>
  <c r="E20" i="18"/>
  <c r="M20" i="18"/>
  <c r="H21" i="18"/>
  <c r="D24" i="18"/>
  <c r="F28" i="18"/>
  <c r="L29" i="18"/>
  <c r="G30" i="18"/>
  <c r="J31" i="18"/>
  <c r="L32" i="18"/>
  <c r="D17" i="19"/>
  <c r="L17" i="19"/>
  <c r="E20" i="19"/>
  <c r="M20" i="19"/>
  <c r="H21" i="19"/>
  <c r="D24" i="19"/>
  <c r="D28" i="19"/>
  <c r="J30" i="19"/>
  <c r="K32" i="20"/>
  <c r="K17" i="20"/>
  <c r="K27" i="20"/>
  <c r="K28" i="20"/>
  <c r="K29" i="20"/>
  <c r="H16" i="21"/>
  <c r="K21" i="21"/>
  <c r="G231" i="23"/>
  <c r="G247" i="23" s="1"/>
  <c r="G37" i="23"/>
  <c r="F236" i="23"/>
  <c r="F252" i="23" s="1"/>
  <c r="F92" i="23"/>
  <c r="K27" i="17"/>
  <c r="M17" i="18"/>
  <c r="F20" i="18"/>
  <c r="N20" i="18"/>
  <c r="I21" i="18"/>
  <c r="L27" i="18"/>
  <c r="M29" i="18"/>
  <c r="M32" i="18"/>
  <c r="K31" i="19"/>
  <c r="K35" i="19" s="1"/>
  <c r="J31" i="19"/>
  <c r="J35" i="19" s="1"/>
  <c r="I21" i="19"/>
  <c r="D27" i="19"/>
  <c r="I21" i="20"/>
  <c r="I25" i="20" s="1"/>
  <c r="M24" i="20"/>
  <c r="M20" i="20"/>
  <c r="M16" i="20"/>
  <c r="L27" i="20"/>
  <c r="L28" i="20"/>
  <c r="L31" i="20"/>
  <c r="L35" i="20" s="1"/>
  <c r="L32" i="20"/>
  <c r="L17" i="20"/>
  <c r="G22" i="20"/>
  <c r="I16" i="21"/>
  <c r="D231" i="23"/>
  <c r="D37" i="23"/>
  <c r="M249" i="23"/>
  <c r="H234" i="23"/>
  <c r="H249" i="23" s="1"/>
  <c r="H70" i="23"/>
  <c r="I88" i="23"/>
  <c r="I91" i="23" s="1"/>
  <c r="I92" i="23" s="1"/>
  <c r="P86" i="23"/>
  <c r="G236" i="23"/>
  <c r="G252" i="23" s="1"/>
  <c r="G92" i="23"/>
  <c r="K17" i="17"/>
  <c r="E29" i="17"/>
  <c r="M29" i="17"/>
  <c r="F17" i="18"/>
  <c r="N17" i="18"/>
  <c r="F29" i="18"/>
  <c r="N29" i="18"/>
  <c r="I30" i="18"/>
  <c r="N17" i="19"/>
  <c r="E24" i="20"/>
  <c r="E20" i="20"/>
  <c r="E16" i="20"/>
  <c r="M21" i="20"/>
  <c r="E21" i="20"/>
  <c r="H22" i="20"/>
  <c r="I28" i="20"/>
  <c r="O3" i="21"/>
  <c r="H21" i="21"/>
  <c r="H20" i="21"/>
  <c r="F243" i="23"/>
  <c r="F169" i="23"/>
  <c r="N169" i="23"/>
  <c r="N243" i="23"/>
  <c r="F11" i="20"/>
  <c r="G21" i="20" s="1"/>
  <c r="J21" i="20"/>
  <c r="N24" i="20"/>
  <c r="D32" i="20"/>
  <c r="G16" i="21"/>
  <c r="K17" i="21"/>
  <c r="K27" i="21"/>
  <c r="K32" i="21"/>
  <c r="L21" i="22"/>
  <c r="D21" i="22"/>
  <c r="K21" i="22"/>
  <c r="J21" i="22"/>
  <c r="P11" i="22"/>
  <c r="R12" i="22" s="1"/>
  <c r="I21" i="22"/>
  <c r="H21" i="22"/>
  <c r="O21" i="22"/>
  <c r="G21" i="22"/>
  <c r="D20" i="22"/>
  <c r="D16" i="22"/>
  <c r="F21" i="22"/>
  <c r="H14" i="23"/>
  <c r="E232" i="23"/>
  <c r="E48" i="23"/>
  <c r="M232" i="23"/>
  <c r="M48" i="23"/>
  <c r="L234" i="23"/>
  <c r="L70" i="23"/>
  <c r="E91" i="23"/>
  <c r="P91" i="23" s="1"/>
  <c r="P236" i="23" s="1"/>
  <c r="E103" i="23"/>
  <c r="E238" i="23"/>
  <c r="E253" i="23" s="1"/>
  <c r="E114" i="23"/>
  <c r="M238" i="23"/>
  <c r="M114" i="23"/>
  <c r="P191" i="23"/>
  <c r="E23" i="20"/>
  <c r="D31" i="20"/>
  <c r="D35" i="20" s="1"/>
  <c r="K31" i="21"/>
  <c r="K35" i="21" s="1"/>
  <c r="M25" i="23"/>
  <c r="E231" i="23"/>
  <c r="E247" i="23" s="1"/>
  <c r="E37" i="23"/>
  <c r="M231" i="23"/>
  <c r="M247" i="23" s="1"/>
  <c r="M37" i="23"/>
  <c r="H236" i="23"/>
  <c r="H92" i="23"/>
  <c r="F240" i="23"/>
  <c r="F136" i="23"/>
  <c r="N136" i="23"/>
  <c r="N240" i="23"/>
  <c r="G242" i="23"/>
  <c r="G158" i="23"/>
  <c r="H237" i="24"/>
  <c r="H252" i="24" s="1"/>
  <c r="H92" i="24"/>
  <c r="P9" i="20"/>
  <c r="T11" i="20"/>
  <c r="N16" i="20"/>
  <c r="K20" i="20"/>
  <c r="N21" i="20"/>
  <c r="D28" i="20"/>
  <c r="L16" i="21"/>
  <c r="J20" i="21"/>
  <c r="E21" i="21"/>
  <c r="M21" i="21"/>
  <c r="J33" i="21"/>
  <c r="K29" i="22"/>
  <c r="K33" i="22" s="1"/>
  <c r="K27" i="22"/>
  <c r="K30" i="22"/>
  <c r="K17" i="22"/>
  <c r="P11" i="23"/>
  <c r="F25" i="23"/>
  <c r="N231" i="23"/>
  <c r="N37" i="23"/>
  <c r="E80" i="23"/>
  <c r="P77" i="23"/>
  <c r="M235" i="23"/>
  <c r="M81" i="23"/>
  <c r="F237" i="23"/>
  <c r="F103" i="23"/>
  <c r="N237" i="23"/>
  <c r="N253" i="23" s="1"/>
  <c r="N103" i="23"/>
  <c r="G240" i="23"/>
  <c r="G136" i="23"/>
  <c r="O136" i="23"/>
  <c r="O240" i="23"/>
  <c r="H242" i="23"/>
  <c r="H158" i="23"/>
  <c r="N232" i="24"/>
  <c r="N37" i="24"/>
  <c r="D20" i="20"/>
  <c r="L20" i="20"/>
  <c r="J27" i="20"/>
  <c r="D16" i="21"/>
  <c r="M16" i="21"/>
  <c r="K20" i="21"/>
  <c r="F21" i="21"/>
  <c r="N21" i="21"/>
  <c r="N25" i="21" s="1"/>
  <c r="J30" i="21"/>
  <c r="M27" i="22"/>
  <c r="M30" i="22"/>
  <c r="M17" i="22"/>
  <c r="M26" i="22"/>
  <c r="L231" i="23"/>
  <c r="L37" i="23"/>
  <c r="E14" i="23"/>
  <c r="D234" i="23"/>
  <c r="D70" i="23"/>
  <c r="F235" i="23"/>
  <c r="F249" i="23" s="1"/>
  <c r="F81" i="23"/>
  <c r="N81" i="23"/>
  <c r="N92" i="23"/>
  <c r="G237" i="23"/>
  <c r="G103" i="23"/>
  <c r="O237" i="23"/>
  <c r="O103" i="23"/>
  <c r="P111" i="23"/>
  <c r="O238" i="23"/>
  <c r="O254" i="23" s="1"/>
  <c r="O114" i="23"/>
  <c r="P33" i="24"/>
  <c r="L37" i="24"/>
  <c r="L232" i="24"/>
  <c r="J17" i="20"/>
  <c r="D24" i="20"/>
  <c r="J32" i="20"/>
  <c r="E16" i="21"/>
  <c r="D20" i="21"/>
  <c r="G21" i="21"/>
  <c r="O21" i="21"/>
  <c r="J24" i="21"/>
  <c r="N14" i="23"/>
  <c r="H25" i="23"/>
  <c r="P22" i="23"/>
  <c r="P33" i="23"/>
  <c r="H37" i="23"/>
  <c r="H232" i="23"/>
  <c r="H248" i="23" s="1"/>
  <c r="H48" i="23"/>
  <c r="D59" i="23"/>
  <c r="P58" i="23"/>
  <c r="E69" i="23"/>
  <c r="P69" i="23" s="1"/>
  <c r="P234" i="23" s="1"/>
  <c r="P66" i="23"/>
  <c r="M234" i="23"/>
  <c r="M70" i="23"/>
  <c r="G235" i="23"/>
  <c r="G81" i="23"/>
  <c r="O81" i="23"/>
  <c r="O235" i="23"/>
  <c r="H237" i="23"/>
  <c r="H103" i="23"/>
  <c r="E125" i="23"/>
  <c r="E239" i="23"/>
  <c r="M239" i="23"/>
  <c r="M125" i="23"/>
  <c r="D213" i="23"/>
  <c r="P212" i="23"/>
  <c r="E232" i="24"/>
  <c r="E37" i="24"/>
  <c r="M232" i="24"/>
  <c r="M37" i="24"/>
  <c r="U10" i="22"/>
  <c r="E21" i="22"/>
  <c r="G14" i="23"/>
  <c r="F250" i="23"/>
  <c r="P78" i="23"/>
  <c r="H235" i="23"/>
  <c r="H81" i="23"/>
  <c r="O236" i="23"/>
  <c r="O92" i="23"/>
  <c r="D113" i="23"/>
  <c r="P110" i="23"/>
  <c r="L238" i="23"/>
  <c r="L114" i="23"/>
  <c r="F124" i="23"/>
  <c r="P121" i="23"/>
  <c r="N235" i="23"/>
  <c r="N249" i="23" s="1"/>
  <c r="N16" i="22"/>
  <c r="L31" i="22"/>
  <c r="D14" i="23"/>
  <c r="P44" i="23"/>
  <c r="D236" i="23"/>
  <c r="G239" i="23"/>
  <c r="H240" i="23"/>
  <c r="H136" i="23"/>
  <c r="D242" i="23"/>
  <c r="D158" i="23"/>
  <c r="P157" i="23"/>
  <c r="P242" i="23" s="1"/>
  <c r="H243" i="23"/>
  <c r="H169" i="23"/>
  <c r="D179" i="23"/>
  <c r="D202" i="23"/>
  <c r="P202" i="23" s="1"/>
  <c r="P201" i="23"/>
  <c r="P209" i="23"/>
  <c r="O92" i="24"/>
  <c r="P89" i="24"/>
  <c r="T12" i="22"/>
  <c r="E16" i="22"/>
  <c r="O16" i="22"/>
  <c r="L28" i="22"/>
  <c r="J30" i="22"/>
  <c r="I36" i="23"/>
  <c r="I37" i="23" s="1"/>
  <c r="K47" i="23"/>
  <c r="K48" i="23" s="1"/>
  <c r="H239" i="23"/>
  <c r="H255" i="23" s="1"/>
  <c r="H125" i="23"/>
  <c r="D125" i="23"/>
  <c r="P143" i="23"/>
  <c r="L241" i="23"/>
  <c r="L236" i="23"/>
  <c r="F16" i="22"/>
  <c r="J27" i="22"/>
  <c r="I32" i="22"/>
  <c r="O234" i="23"/>
  <c r="L235" i="23"/>
  <c r="E241" i="23"/>
  <c r="M241" i="23"/>
  <c r="M257" i="23" s="1"/>
  <c r="L158" i="23"/>
  <c r="L242" i="23"/>
  <c r="D231" i="24"/>
  <c r="L26" i="24"/>
  <c r="L231" i="24"/>
  <c r="G70" i="24"/>
  <c r="G235" i="24"/>
  <c r="G251" i="24" s="1"/>
  <c r="O235" i="24"/>
  <c r="O251" i="24" s="1"/>
  <c r="O70" i="24"/>
  <c r="L70" i="24"/>
  <c r="L235" i="24"/>
  <c r="D244" i="24"/>
  <c r="D169" i="24"/>
  <c r="P168" i="24"/>
  <c r="L169" i="24"/>
  <c r="L244" i="24"/>
  <c r="L258" i="24" s="1"/>
  <c r="G16" i="22"/>
  <c r="O20" i="22"/>
  <c r="L239" i="23"/>
  <c r="L255" i="23" s="1"/>
  <c r="L125" i="23"/>
  <c r="F241" i="23"/>
  <c r="F147" i="23"/>
  <c r="N241" i="23"/>
  <c r="N257" i="23" s="1"/>
  <c r="N147" i="23"/>
  <c r="P154" i="23"/>
  <c r="M158" i="23"/>
  <c r="M242" i="23"/>
  <c r="P190" i="23"/>
  <c r="P198" i="23"/>
  <c r="L240" i="23"/>
  <c r="H26" i="24"/>
  <c r="H231" i="24"/>
  <c r="H235" i="24"/>
  <c r="H250" i="24" s="1"/>
  <c r="H70" i="24"/>
  <c r="M70" i="24"/>
  <c r="M235" i="24"/>
  <c r="L238" i="24"/>
  <c r="L254" i="24" s="1"/>
  <c r="L103" i="24"/>
  <c r="O237" i="24"/>
  <c r="H16" i="22"/>
  <c r="P135" i="23"/>
  <c r="D240" i="23"/>
  <c r="O241" i="23"/>
  <c r="O257" i="23" s="1"/>
  <c r="O147" i="23"/>
  <c r="E147" i="23"/>
  <c r="D169" i="23"/>
  <c r="P168" i="23"/>
  <c r="P243" i="23" s="1"/>
  <c r="L169" i="23"/>
  <c r="L243" i="23"/>
  <c r="M240" i="23"/>
  <c r="G250" i="24"/>
  <c r="D103" i="24"/>
  <c r="D238" i="24"/>
  <c r="L241" i="24"/>
  <c r="L136" i="24"/>
  <c r="T10" i="22"/>
  <c r="D92" i="23"/>
  <c r="G125" i="23"/>
  <c r="E240" i="23"/>
  <c r="E256" i="23" s="1"/>
  <c r="E136" i="23"/>
  <c r="P136" i="23" s="1"/>
  <c r="L147" i="23"/>
  <c r="F158" i="23"/>
  <c r="N158" i="23"/>
  <c r="N242" i="23"/>
  <c r="E243" i="23"/>
  <c r="M243" i="23"/>
  <c r="G241" i="23"/>
  <c r="G257" i="23" s="1"/>
  <c r="F15" i="24"/>
  <c r="G26" i="24"/>
  <c r="G231" i="24"/>
  <c r="N103" i="24"/>
  <c r="N238" i="24"/>
  <c r="P165" i="23"/>
  <c r="P187" i="23"/>
  <c r="O15" i="24"/>
  <c r="F231" i="24"/>
  <c r="F26" i="24"/>
  <c r="F232" i="24"/>
  <c r="F246" i="24" s="1"/>
  <c r="F37" i="24"/>
  <c r="N4" i="24"/>
  <c r="F47" i="24" s="1"/>
  <c r="L237" i="24"/>
  <c r="L92" i="24"/>
  <c r="F238" i="24"/>
  <c r="F103" i="24"/>
  <c r="E103" i="24"/>
  <c r="E238" i="24"/>
  <c r="D240" i="24"/>
  <c r="P124" i="24"/>
  <c r="D125" i="24"/>
  <c r="L125" i="24"/>
  <c r="L240" i="24"/>
  <c r="M147" i="24"/>
  <c r="O158" i="24"/>
  <c r="O243" i="24"/>
  <c r="P180" i="24"/>
  <c r="P132" i="23"/>
  <c r="D146" i="23"/>
  <c r="P11" i="24"/>
  <c r="O26" i="24"/>
  <c r="G232" i="24"/>
  <c r="O232" i="24"/>
  <c r="O37" i="24"/>
  <c r="P44" i="24"/>
  <c r="M237" i="24"/>
  <c r="M253" i="24" s="1"/>
  <c r="M92" i="24"/>
  <c r="G238" i="24"/>
  <c r="G254" i="24" s="1"/>
  <c r="G103" i="24"/>
  <c r="M254" i="24"/>
  <c r="D241" i="24"/>
  <c r="P135" i="24"/>
  <c r="D136" i="24"/>
  <c r="M258" i="24"/>
  <c r="E242" i="24"/>
  <c r="E147" i="24"/>
  <c r="H158" i="24"/>
  <c r="H243" i="24"/>
  <c r="H37" i="24"/>
  <c r="H232" i="24"/>
  <c r="P88" i="24"/>
  <c r="D91" i="24"/>
  <c r="H238" i="24"/>
  <c r="H103" i="24"/>
  <c r="P110" i="24"/>
  <c r="L114" i="24"/>
  <c r="L239" i="24"/>
  <c r="N240" i="24"/>
  <c r="E257" i="24"/>
  <c r="M241" i="24"/>
  <c r="M255" i="24" s="1"/>
  <c r="M136" i="24"/>
  <c r="P133" i="24"/>
  <c r="F146" i="24"/>
  <c r="P143" i="24"/>
  <c r="N147" i="24"/>
  <c r="N242" i="24"/>
  <c r="G242" i="24"/>
  <c r="G147" i="24"/>
  <c r="E169" i="24"/>
  <c r="E244" i="24"/>
  <c r="I25" i="24"/>
  <c r="I26" i="24" s="1"/>
  <c r="P58" i="24"/>
  <c r="P59" i="24"/>
  <c r="P234" i="24" s="1"/>
  <c r="O240" i="24"/>
  <c r="O256" i="24" s="1"/>
  <c r="N125" i="24"/>
  <c r="F243" i="24"/>
  <c r="F158" i="24"/>
  <c r="P166" i="24"/>
  <c r="H240" i="24"/>
  <c r="I14" i="24"/>
  <c r="I15" i="24" s="1"/>
  <c r="D232" i="24"/>
  <c r="P36" i="24"/>
  <c r="E235" i="24"/>
  <c r="E70" i="24"/>
  <c r="P77" i="24"/>
  <c r="P80" i="24"/>
  <c r="D81" i="24"/>
  <c r="F239" i="24"/>
  <c r="F114" i="24"/>
  <c r="N114" i="24"/>
  <c r="N239" i="24"/>
  <c r="N253" i="24" s="1"/>
  <c r="H239" i="24"/>
  <c r="H114" i="24"/>
  <c r="P122" i="24"/>
  <c r="E256" i="24"/>
  <c r="O125" i="24"/>
  <c r="H242" i="24"/>
  <c r="H147" i="24"/>
  <c r="P209" i="24"/>
  <c r="D14" i="24"/>
  <c r="L14" i="24"/>
  <c r="K14" i="24"/>
  <c r="E81" i="24"/>
  <c r="E236" i="24" s="1"/>
  <c r="P78" i="24"/>
  <c r="H241" i="24"/>
  <c r="H136" i="24"/>
  <c r="P154" i="24"/>
  <c r="D157" i="24"/>
  <c r="L158" i="24"/>
  <c r="L243" i="24"/>
  <c r="D201" i="24"/>
  <c r="P198" i="24"/>
  <c r="O257" i="24"/>
  <c r="P87" i="24"/>
  <c r="P111" i="24"/>
  <c r="M114" i="24"/>
  <c r="E125" i="24"/>
  <c r="P165" i="24"/>
  <c r="P176" i="24"/>
  <c r="G241" i="24"/>
  <c r="P22" i="24"/>
  <c r="P55" i="24"/>
  <c r="D69" i="24"/>
  <c r="P121" i="24"/>
  <c r="G158" i="24"/>
  <c r="P179" i="24"/>
  <c r="P187" i="24"/>
  <c r="G243" i="24"/>
  <c r="P100" i="24"/>
  <c r="M103" i="24"/>
  <c r="M240" i="24"/>
  <c r="P132" i="24"/>
  <c r="P67" i="24"/>
  <c r="F235" i="24"/>
  <c r="F70" i="24"/>
  <c r="N92" i="24"/>
  <c r="D113" i="24"/>
  <c r="M169" i="24"/>
  <c r="M244" i="24"/>
  <c r="D191" i="24"/>
  <c r="P191" i="24" s="1"/>
  <c r="P190" i="24"/>
  <c r="N235" i="24"/>
  <c r="N251" i="24" s="1"/>
  <c r="E239" i="24"/>
  <c r="E255" i="24" s="1"/>
  <c r="N169" i="24"/>
  <c r="N244" i="24"/>
  <c r="F237" i="24"/>
  <c r="F252" i="24" s="1"/>
  <c r="M243" i="24"/>
  <c r="P155" i="24"/>
  <c r="O244" i="24"/>
  <c r="P212" i="24"/>
  <c r="N243" i="24"/>
  <c r="D26" i="23" l="1"/>
  <c r="D230" i="23"/>
  <c r="D27" i="20"/>
  <c r="D29" i="20"/>
  <c r="D23" i="20"/>
  <c r="G257" i="24"/>
  <c r="G253" i="24"/>
  <c r="G47" i="24"/>
  <c r="G233" i="24" s="1"/>
  <c r="P37" i="24"/>
  <c r="O250" i="24"/>
  <c r="M251" i="24"/>
  <c r="H21" i="20"/>
  <c r="H25" i="20" s="1"/>
  <c r="F21" i="20"/>
  <c r="F25" i="20" s="1"/>
  <c r="I30" i="19"/>
  <c r="I30" i="16"/>
  <c r="D25" i="14"/>
  <c r="G25" i="9"/>
  <c r="I25" i="11"/>
  <c r="N23" i="10"/>
  <c r="F25" i="9"/>
  <c r="R9" i="12"/>
  <c r="N25" i="5"/>
  <c r="N25" i="24"/>
  <c r="N14" i="24"/>
  <c r="K28" i="21"/>
  <c r="K29" i="21"/>
  <c r="O25" i="17"/>
  <c r="L23" i="10"/>
  <c r="R9" i="7"/>
  <c r="M23" i="14"/>
  <c r="D28" i="14"/>
  <c r="F23" i="14"/>
  <c r="H258" i="24"/>
  <c r="L252" i="23"/>
  <c r="J25" i="15"/>
  <c r="F251" i="24"/>
  <c r="E252" i="24"/>
  <c r="F255" i="24"/>
  <c r="M250" i="24"/>
  <c r="E257" i="23"/>
  <c r="O25" i="21"/>
  <c r="N247" i="23"/>
  <c r="M25" i="21"/>
  <c r="M254" i="23"/>
  <c r="D17" i="20"/>
  <c r="F28" i="19"/>
  <c r="K25" i="21"/>
  <c r="O25" i="18"/>
  <c r="D25" i="17"/>
  <c r="L23" i="17"/>
  <c r="M25" i="18"/>
  <c r="N25" i="14"/>
  <c r="H25" i="13"/>
  <c r="F25" i="7"/>
  <c r="F53" i="7" s="1"/>
  <c r="L25" i="9"/>
  <c r="R15" i="7"/>
  <c r="K25" i="1"/>
  <c r="R10" i="8"/>
  <c r="G23" i="1"/>
  <c r="R9" i="1"/>
  <c r="I25" i="25"/>
  <c r="G25" i="25"/>
  <c r="J25" i="25"/>
  <c r="O25" i="25"/>
  <c r="M25" i="25"/>
  <c r="L25" i="25"/>
  <c r="D25" i="25"/>
  <c r="D49" i="25" s="1"/>
  <c r="N25" i="25"/>
  <c r="H25" i="25"/>
  <c r="F25" i="25"/>
  <c r="E25" i="25"/>
  <c r="E49" i="25" s="1"/>
  <c r="K25" i="25"/>
  <c r="O231" i="23"/>
  <c r="O37" i="23"/>
  <c r="H14" i="24"/>
  <c r="M25" i="24"/>
  <c r="L232" i="23"/>
  <c r="L247" i="23" s="1"/>
  <c r="L48" i="23"/>
  <c r="H252" i="23"/>
  <c r="G251" i="23"/>
  <c r="E25" i="21"/>
  <c r="K25" i="12"/>
  <c r="X12" i="17"/>
  <c r="X12" i="16" s="1"/>
  <c r="X12" i="15" s="1"/>
  <c r="X12" i="14" s="1"/>
  <c r="X12" i="13" s="1"/>
  <c r="X12" i="12" s="1"/>
  <c r="X12" i="11" s="1"/>
  <c r="X12" i="10" s="1"/>
  <c r="X12" i="9" s="1"/>
  <c r="X12" i="8" s="1"/>
  <c r="T12" i="17"/>
  <c r="E25" i="24"/>
  <c r="G213" i="23"/>
  <c r="I47" i="23"/>
  <c r="I48" i="23" s="1"/>
  <c r="G250" i="23"/>
  <c r="I47" i="24"/>
  <c r="I48" i="24" s="1"/>
  <c r="N251" i="23"/>
  <c r="G25" i="20"/>
  <c r="F27" i="19"/>
  <c r="L257" i="24"/>
  <c r="L251" i="24"/>
  <c r="H256" i="23"/>
  <c r="I21" i="17"/>
  <c r="K25" i="14"/>
  <c r="F23" i="17"/>
  <c r="O25" i="14"/>
  <c r="D25" i="11"/>
  <c r="D25" i="7"/>
  <c r="D49" i="7" s="1"/>
  <c r="P16" i="1"/>
  <c r="L23" i="1"/>
  <c r="M23" i="1"/>
  <c r="G213" i="24"/>
  <c r="O258" i="24"/>
  <c r="H47" i="24"/>
  <c r="H233" i="24" s="1"/>
  <c r="D250" i="23"/>
  <c r="H257" i="23"/>
  <c r="P136" i="24"/>
  <c r="M256" i="24"/>
  <c r="N47" i="24"/>
  <c r="O21" i="20"/>
  <c r="M251" i="23"/>
  <c r="E25" i="20"/>
  <c r="F17" i="19"/>
  <c r="I34" i="16"/>
  <c r="E48" i="15"/>
  <c r="G25" i="14"/>
  <c r="O25" i="13"/>
  <c r="F48" i="13"/>
  <c r="G25" i="10"/>
  <c r="H25" i="12"/>
  <c r="L25" i="12"/>
  <c r="G48" i="9"/>
  <c r="D48" i="10"/>
  <c r="G14" i="24"/>
  <c r="M14" i="24"/>
  <c r="L252" i="24"/>
  <c r="H253" i="24"/>
  <c r="D232" i="23"/>
  <c r="D48" i="23"/>
  <c r="P48" i="23" s="1"/>
  <c r="L213" i="24"/>
  <c r="L213" i="23"/>
  <c r="O35" i="1"/>
  <c r="O31" i="1"/>
  <c r="K213" i="24"/>
  <c r="K49" i="1"/>
  <c r="E32" i="19"/>
  <c r="E29" i="19"/>
  <c r="E27" i="19"/>
  <c r="E28" i="19"/>
  <c r="E17" i="19"/>
  <c r="P17" i="19" s="1"/>
  <c r="L23" i="19"/>
  <c r="E31" i="19"/>
  <c r="E35" i="19" s="1"/>
  <c r="L30" i="15"/>
  <c r="L33" i="15"/>
  <c r="L34" i="15"/>
  <c r="O33" i="11"/>
  <c r="O30" i="11"/>
  <c r="O34" i="11"/>
  <c r="D239" i="24"/>
  <c r="D255" i="24" s="1"/>
  <c r="P113" i="24"/>
  <c r="P239" i="24" s="1"/>
  <c r="D114" i="24"/>
  <c r="P114" i="24" s="1"/>
  <c r="N258" i="24"/>
  <c r="N256" i="24"/>
  <c r="N257" i="24"/>
  <c r="N250" i="24"/>
  <c r="E27" i="22"/>
  <c r="E30" i="22"/>
  <c r="E17" i="22"/>
  <c r="E26" i="22"/>
  <c r="E29" i="22"/>
  <c r="E33" i="22" s="1"/>
  <c r="D229" i="23"/>
  <c r="D245" i="23" s="1"/>
  <c r="D15" i="23"/>
  <c r="L254" i="23"/>
  <c r="N250" i="23"/>
  <c r="P213" i="23"/>
  <c r="O251" i="23"/>
  <c r="G249" i="23"/>
  <c r="O23" i="21"/>
  <c r="G23" i="21"/>
  <c r="D28" i="21"/>
  <c r="N23" i="21"/>
  <c r="F23" i="21"/>
  <c r="M23" i="21"/>
  <c r="E23" i="21"/>
  <c r="D31" i="21"/>
  <c r="D35" i="21" s="1"/>
  <c r="L23" i="21"/>
  <c r="D23" i="21"/>
  <c r="K23" i="21"/>
  <c r="H23" i="21"/>
  <c r="P16" i="21"/>
  <c r="D32" i="21"/>
  <c r="D27" i="21"/>
  <c r="D29" i="21"/>
  <c r="J23" i="21"/>
  <c r="I23" i="21"/>
  <c r="D17" i="21"/>
  <c r="G256" i="23"/>
  <c r="E235" i="23"/>
  <c r="E81" i="23"/>
  <c r="P81" i="23" s="1"/>
  <c r="P80" i="23"/>
  <c r="P235" i="23" s="1"/>
  <c r="M253" i="23"/>
  <c r="M230" i="23"/>
  <c r="M246" i="23" s="1"/>
  <c r="M26" i="23"/>
  <c r="L250" i="23"/>
  <c r="H229" i="23"/>
  <c r="H15" i="23"/>
  <c r="R11" i="22"/>
  <c r="R10" i="22"/>
  <c r="R9" i="22"/>
  <c r="G31" i="21"/>
  <c r="G35" i="21" s="1"/>
  <c r="G29" i="21"/>
  <c r="G32" i="21"/>
  <c r="G27" i="21"/>
  <c r="G17" i="21"/>
  <c r="G28" i="21"/>
  <c r="J23" i="19"/>
  <c r="H250" i="23"/>
  <c r="H23" i="19"/>
  <c r="H33" i="17"/>
  <c r="H30" i="17"/>
  <c r="H34" i="17"/>
  <c r="P24" i="21"/>
  <c r="R6" i="21"/>
  <c r="R9" i="21"/>
  <c r="R11" i="21"/>
  <c r="O31" i="19"/>
  <c r="O35" i="19" s="1"/>
  <c r="O32" i="19"/>
  <c r="O27" i="19"/>
  <c r="O28" i="19"/>
  <c r="O17" i="19"/>
  <c r="O29" i="19"/>
  <c r="M23" i="19"/>
  <c r="G34" i="20"/>
  <c r="G33" i="20"/>
  <c r="G30" i="20"/>
  <c r="E33" i="18"/>
  <c r="E30" i="18"/>
  <c r="E34" i="18"/>
  <c r="J25" i="17"/>
  <c r="G25" i="17"/>
  <c r="D34" i="16"/>
  <c r="P17" i="16"/>
  <c r="D33" i="16"/>
  <c r="D30" i="16"/>
  <c r="M25" i="14"/>
  <c r="M48" i="14"/>
  <c r="F28" i="17"/>
  <c r="F31" i="17"/>
  <c r="F35" i="17" s="1"/>
  <c r="F17" i="17"/>
  <c r="F32" i="17"/>
  <c r="F29" i="17"/>
  <c r="K23" i="17"/>
  <c r="F27" i="17"/>
  <c r="E33" i="15"/>
  <c r="E34" i="15"/>
  <c r="E30" i="15"/>
  <c r="H28" i="19"/>
  <c r="H32" i="19"/>
  <c r="H29" i="19"/>
  <c r="H27" i="19"/>
  <c r="H31" i="19"/>
  <c r="H35" i="19" s="1"/>
  <c r="H17" i="19"/>
  <c r="G23" i="17"/>
  <c r="I24" i="17"/>
  <c r="I20" i="17"/>
  <c r="O3" i="17"/>
  <c r="M33" i="14"/>
  <c r="M34" i="14"/>
  <c r="M30" i="14"/>
  <c r="T10" i="17"/>
  <c r="D30" i="14"/>
  <c r="P17" i="14"/>
  <c r="D33" i="14"/>
  <c r="D34" i="14"/>
  <c r="N48" i="14"/>
  <c r="E33" i="14"/>
  <c r="E34" i="14"/>
  <c r="E30" i="14"/>
  <c r="P20" i="13"/>
  <c r="R16" i="13"/>
  <c r="R10" i="13"/>
  <c r="R11" i="13"/>
  <c r="R9" i="13"/>
  <c r="G34" i="15"/>
  <c r="G30" i="15"/>
  <c r="G33" i="15"/>
  <c r="D28" i="13"/>
  <c r="N23" i="13"/>
  <c r="F23" i="13"/>
  <c r="M23" i="13"/>
  <c r="E23" i="13"/>
  <c r="L23" i="13"/>
  <c r="D23" i="13"/>
  <c r="K23" i="13"/>
  <c r="D31" i="13"/>
  <c r="D35" i="13" s="1"/>
  <c r="J23" i="13"/>
  <c r="D17" i="13"/>
  <c r="D27" i="13"/>
  <c r="I23" i="13"/>
  <c r="D29" i="13"/>
  <c r="D24" i="13"/>
  <c r="H23" i="13"/>
  <c r="P16" i="13"/>
  <c r="P24" i="13" s="1"/>
  <c r="D32" i="13"/>
  <c r="O23" i="13"/>
  <c r="G23" i="13"/>
  <c r="F34" i="14"/>
  <c r="F30" i="14"/>
  <c r="F33" i="14"/>
  <c r="G25" i="13"/>
  <c r="M25" i="12"/>
  <c r="O48" i="9"/>
  <c r="R10" i="10"/>
  <c r="P24" i="10"/>
  <c r="R11" i="10"/>
  <c r="P20" i="10"/>
  <c r="L25" i="7"/>
  <c r="L53" i="7" s="1"/>
  <c r="L49" i="7"/>
  <c r="E35" i="8"/>
  <c r="E34" i="8"/>
  <c r="E31" i="8"/>
  <c r="O25" i="8"/>
  <c r="R9" i="6"/>
  <c r="R11" i="6"/>
  <c r="P20" i="6"/>
  <c r="R15" i="6"/>
  <c r="R10" i="6"/>
  <c r="K31" i="7"/>
  <c r="K34" i="7"/>
  <c r="K35" i="7"/>
  <c r="H25" i="5"/>
  <c r="R12" i="8"/>
  <c r="J31" i="5"/>
  <c r="J34" i="5"/>
  <c r="J35" i="5"/>
  <c r="D31" i="1"/>
  <c r="D34" i="1"/>
  <c r="D35" i="1"/>
  <c r="E25" i="6"/>
  <c r="E49" i="6" s="1"/>
  <c r="J25" i="5"/>
  <c r="J35" i="1"/>
  <c r="J31" i="1"/>
  <c r="J34" i="1"/>
  <c r="L25" i="11"/>
  <c r="D25" i="5"/>
  <c r="D49" i="5" s="1"/>
  <c r="H33" i="11"/>
  <c r="H30" i="11"/>
  <c r="H34" i="11"/>
  <c r="J34" i="8"/>
  <c r="J31" i="8"/>
  <c r="J35" i="8"/>
  <c r="N35" i="5"/>
  <c r="N34" i="5"/>
  <c r="N31" i="5"/>
  <c r="M34" i="5"/>
  <c r="M31" i="5"/>
  <c r="M35" i="5"/>
  <c r="K31" i="5"/>
  <c r="K34" i="5"/>
  <c r="K35" i="5"/>
  <c r="K25" i="6"/>
  <c r="G31" i="6"/>
  <c r="G34" i="6"/>
  <c r="G35" i="6"/>
  <c r="M49" i="5"/>
  <c r="M25" i="5"/>
  <c r="G32" i="1"/>
  <c r="G36" i="1" s="1"/>
  <c r="G17" i="1"/>
  <c r="P17" i="1" s="1"/>
  <c r="G28" i="1"/>
  <c r="G30" i="1"/>
  <c r="G33" i="1"/>
  <c r="G29" i="1"/>
  <c r="M25" i="11"/>
  <c r="N35" i="7"/>
  <c r="N31" i="7"/>
  <c r="N34" i="7"/>
  <c r="E25" i="11"/>
  <c r="E31" i="1"/>
  <c r="E34" i="1"/>
  <c r="E35" i="1"/>
  <c r="H31" i="6"/>
  <c r="H34" i="6"/>
  <c r="H35" i="6"/>
  <c r="O31" i="6"/>
  <c r="O34" i="6"/>
  <c r="O35" i="6"/>
  <c r="H35" i="5"/>
  <c r="H31" i="5"/>
  <c r="H34" i="5"/>
  <c r="P232" i="24"/>
  <c r="K34" i="9"/>
  <c r="K30" i="9"/>
  <c r="K33" i="9"/>
  <c r="F254" i="24"/>
  <c r="G26" i="22"/>
  <c r="G29" i="22"/>
  <c r="G33" i="22" s="1"/>
  <c r="G27" i="22"/>
  <c r="G17" i="22"/>
  <c r="G30" i="22"/>
  <c r="E250" i="24"/>
  <c r="G255" i="24"/>
  <c r="N30" i="22"/>
  <c r="N17" i="22"/>
  <c r="N26" i="22"/>
  <c r="N29" i="22"/>
  <c r="N33" i="22" s="1"/>
  <c r="N27" i="22"/>
  <c r="D238" i="23"/>
  <c r="D254" i="23" s="1"/>
  <c r="D114" i="23"/>
  <c r="P114" i="23" s="1"/>
  <c r="P113" i="23"/>
  <c r="P238" i="23" s="1"/>
  <c r="M255" i="23"/>
  <c r="D233" i="23"/>
  <c r="D247" i="23" s="1"/>
  <c r="P59" i="23"/>
  <c r="P233" i="23" s="1"/>
  <c r="N229" i="23"/>
  <c r="N15" i="23"/>
  <c r="G230" i="23"/>
  <c r="G246" i="23" s="1"/>
  <c r="G26" i="23"/>
  <c r="N25" i="20"/>
  <c r="O249" i="23"/>
  <c r="L23" i="22"/>
  <c r="D23" i="22"/>
  <c r="D27" i="22"/>
  <c r="K23" i="22"/>
  <c r="D30" i="22"/>
  <c r="J23" i="22"/>
  <c r="D17" i="22"/>
  <c r="I23" i="22"/>
  <c r="P16" i="22"/>
  <c r="D26" i="22"/>
  <c r="H23" i="22"/>
  <c r="O23" i="22"/>
  <c r="G23" i="22"/>
  <c r="E23" i="22"/>
  <c r="D29" i="22"/>
  <c r="D33" i="22" s="1"/>
  <c r="F23" i="22"/>
  <c r="N23" i="22"/>
  <c r="U15" i="22"/>
  <c r="M23" i="22"/>
  <c r="M25" i="20"/>
  <c r="F34" i="19"/>
  <c r="F30" i="19"/>
  <c r="F33" i="19"/>
  <c r="K34" i="17"/>
  <c r="K33" i="17"/>
  <c r="K30" i="17"/>
  <c r="I25" i="18"/>
  <c r="L25" i="21"/>
  <c r="T11" i="18"/>
  <c r="S11" i="18"/>
  <c r="S10" i="18"/>
  <c r="P24" i="18"/>
  <c r="E34" i="16"/>
  <c r="E33" i="16"/>
  <c r="E30" i="16"/>
  <c r="L25" i="17"/>
  <c r="H25" i="17"/>
  <c r="H34" i="14"/>
  <c r="H30" i="14"/>
  <c r="H33" i="14"/>
  <c r="F34" i="21"/>
  <c r="F33" i="21"/>
  <c r="F30" i="21"/>
  <c r="L48" i="15"/>
  <c r="L25" i="15"/>
  <c r="H23" i="17"/>
  <c r="D30" i="15"/>
  <c r="D33" i="15"/>
  <c r="D34" i="15"/>
  <c r="P17" i="15"/>
  <c r="G33" i="19"/>
  <c r="G30" i="19"/>
  <c r="G34" i="19"/>
  <c r="O25" i="15"/>
  <c r="O34" i="15"/>
  <c r="O30" i="15"/>
  <c r="O33" i="15"/>
  <c r="K48" i="12"/>
  <c r="J33" i="11"/>
  <c r="J30" i="11"/>
  <c r="J34" i="11"/>
  <c r="I48" i="10"/>
  <c r="G34" i="12"/>
  <c r="G30" i="12"/>
  <c r="G33" i="12"/>
  <c r="D31" i="11"/>
  <c r="D35" i="11" s="1"/>
  <c r="D27" i="11"/>
  <c r="D32" i="11"/>
  <c r="D28" i="11"/>
  <c r="H23" i="11"/>
  <c r="P16" i="11"/>
  <c r="O23" i="11"/>
  <c r="G23" i="11"/>
  <c r="N23" i="11"/>
  <c r="F23" i="11"/>
  <c r="M23" i="11"/>
  <c r="E23" i="11"/>
  <c r="D29" i="11"/>
  <c r="L23" i="11"/>
  <c r="D23" i="11"/>
  <c r="K23" i="11"/>
  <c r="J23" i="11"/>
  <c r="I23" i="11"/>
  <c r="D17" i="11"/>
  <c r="K30" i="12"/>
  <c r="K33" i="12"/>
  <c r="K34" i="12"/>
  <c r="M49" i="7"/>
  <c r="E33" i="10"/>
  <c r="E30" i="10"/>
  <c r="E34" i="10"/>
  <c r="O33" i="9"/>
  <c r="O30" i="9"/>
  <c r="O34" i="9"/>
  <c r="L25" i="8"/>
  <c r="F25" i="8"/>
  <c r="J31" i="6"/>
  <c r="J34" i="6"/>
  <c r="J35" i="6"/>
  <c r="R15" i="10"/>
  <c r="E34" i="9"/>
  <c r="E33" i="9"/>
  <c r="E30" i="9"/>
  <c r="R9" i="8"/>
  <c r="N25" i="6"/>
  <c r="I49" i="5"/>
  <c r="F25" i="5"/>
  <c r="E25" i="5"/>
  <c r="E49" i="5" s="1"/>
  <c r="P20" i="1"/>
  <c r="R10" i="1"/>
  <c r="R11" i="1"/>
  <c r="P24" i="1"/>
  <c r="N25" i="1"/>
  <c r="N25" i="11"/>
  <c r="L35" i="6"/>
  <c r="L31" i="6"/>
  <c r="L34" i="6"/>
  <c r="F31" i="1"/>
  <c r="F34" i="1"/>
  <c r="F35" i="1"/>
  <c r="E23" i="19"/>
  <c r="O33" i="18"/>
  <c r="O30" i="18"/>
  <c r="O34" i="18"/>
  <c r="O33" i="13"/>
  <c r="O34" i="13"/>
  <c r="O30" i="13"/>
  <c r="I25" i="9"/>
  <c r="I48" i="9"/>
  <c r="F233" i="24"/>
  <c r="F249" i="24" s="1"/>
  <c r="F48" i="24"/>
  <c r="P146" i="23"/>
  <c r="P241" i="23" s="1"/>
  <c r="P257" i="23" s="1"/>
  <c r="D241" i="23"/>
  <c r="D257" i="23" s="1"/>
  <c r="D147" i="23"/>
  <c r="P147" i="23" s="1"/>
  <c r="P238" i="24"/>
  <c r="M256" i="23"/>
  <c r="P47" i="23"/>
  <c r="P232" i="23" s="1"/>
  <c r="P248" i="23" s="1"/>
  <c r="E255" i="23"/>
  <c r="E229" i="23"/>
  <c r="E15" i="23"/>
  <c r="E254" i="23"/>
  <c r="L249" i="23"/>
  <c r="E28" i="20"/>
  <c r="E31" i="20"/>
  <c r="E35" i="20" s="1"/>
  <c r="E27" i="20"/>
  <c r="E17" i="20"/>
  <c r="E32" i="20"/>
  <c r="E29" i="20"/>
  <c r="P36" i="23"/>
  <c r="I23" i="19"/>
  <c r="K30" i="20"/>
  <c r="K33" i="20"/>
  <c r="K34" i="20"/>
  <c r="G25" i="18"/>
  <c r="N23" i="19"/>
  <c r="I25" i="21"/>
  <c r="M30" i="19"/>
  <c r="M33" i="19"/>
  <c r="M34" i="19"/>
  <c r="E25" i="17"/>
  <c r="M25" i="15"/>
  <c r="N34" i="21"/>
  <c r="N33" i="21"/>
  <c r="N30" i="21"/>
  <c r="D25" i="15"/>
  <c r="D48" i="15"/>
  <c r="L25" i="14"/>
  <c r="M23" i="17"/>
  <c r="O48" i="14"/>
  <c r="G25" i="15"/>
  <c r="N34" i="13"/>
  <c r="N33" i="13"/>
  <c r="N30" i="13"/>
  <c r="P54" i="11"/>
  <c r="R55" i="11" s="1"/>
  <c r="R12" i="7"/>
  <c r="H48" i="12"/>
  <c r="D25" i="12"/>
  <c r="N48" i="9"/>
  <c r="H23" i="8"/>
  <c r="P16" i="8"/>
  <c r="O23" i="8"/>
  <c r="G23" i="8"/>
  <c r="D32" i="8"/>
  <c r="D36" i="8" s="1"/>
  <c r="N23" i="8"/>
  <c r="F23" i="8"/>
  <c r="D28" i="8"/>
  <c r="M23" i="8"/>
  <c r="E23" i="8"/>
  <c r="D33" i="8"/>
  <c r="D30" i="8"/>
  <c r="L23" i="8"/>
  <c r="D23" i="8"/>
  <c r="K23" i="8"/>
  <c r="D29" i="8"/>
  <c r="J23" i="8"/>
  <c r="D17" i="8"/>
  <c r="I23" i="8"/>
  <c r="H23" i="7"/>
  <c r="P16" i="7"/>
  <c r="O23" i="7"/>
  <c r="G23" i="7"/>
  <c r="D32" i="7"/>
  <c r="D36" i="7" s="1"/>
  <c r="N23" i="7"/>
  <c r="F23" i="7"/>
  <c r="D28" i="7"/>
  <c r="M23" i="7"/>
  <c r="E23" i="7"/>
  <c r="D30" i="7"/>
  <c r="L23" i="7"/>
  <c r="D23" i="7"/>
  <c r="D33" i="7"/>
  <c r="K23" i="7"/>
  <c r="D29" i="7"/>
  <c r="J23" i="7"/>
  <c r="I23" i="7"/>
  <c r="D17" i="7"/>
  <c r="L30" i="12"/>
  <c r="L33" i="12"/>
  <c r="L34" i="12"/>
  <c r="L35" i="8"/>
  <c r="L31" i="8"/>
  <c r="L34" i="8"/>
  <c r="N25" i="8"/>
  <c r="H25" i="8"/>
  <c r="H33" i="9"/>
  <c r="H30" i="9"/>
  <c r="H34" i="9"/>
  <c r="F33" i="11"/>
  <c r="F30" i="11"/>
  <c r="F34" i="11"/>
  <c r="N33" i="9"/>
  <c r="N30" i="9"/>
  <c r="N34" i="9"/>
  <c r="G34" i="8"/>
  <c r="G31" i="8"/>
  <c r="G35" i="8"/>
  <c r="P28" i="5"/>
  <c r="P30" i="5"/>
  <c r="P33" i="5"/>
  <c r="P29" i="5"/>
  <c r="P32" i="5"/>
  <c r="P36" i="5" s="1"/>
  <c r="N35" i="8"/>
  <c r="N34" i="8"/>
  <c r="N31" i="8"/>
  <c r="F25" i="6"/>
  <c r="H25" i="1"/>
  <c r="K34" i="11"/>
  <c r="K30" i="11"/>
  <c r="K33" i="11"/>
  <c r="L25" i="6"/>
  <c r="F49" i="6"/>
  <c r="H49" i="5"/>
  <c r="O35" i="7"/>
  <c r="O31" i="7"/>
  <c r="O34" i="7"/>
  <c r="F25" i="1"/>
  <c r="R12" i="10"/>
  <c r="I33" i="9"/>
  <c r="I30" i="9"/>
  <c r="I34" i="9"/>
  <c r="I35" i="5"/>
  <c r="I31" i="5"/>
  <c r="I34" i="5"/>
  <c r="N34" i="19"/>
  <c r="N33" i="19"/>
  <c r="N30" i="19"/>
  <c r="K23" i="19"/>
  <c r="P27" i="14"/>
  <c r="P29" i="14"/>
  <c r="P32" i="14"/>
  <c r="P28" i="14"/>
  <c r="P31" i="14"/>
  <c r="P35" i="14" s="1"/>
  <c r="M34" i="13"/>
  <c r="M33" i="13"/>
  <c r="M30" i="13"/>
  <c r="G256" i="24"/>
  <c r="O252" i="24"/>
  <c r="P240" i="23"/>
  <c r="J30" i="20"/>
  <c r="J33" i="20"/>
  <c r="J34" i="20"/>
  <c r="L253" i="23"/>
  <c r="F23" i="19"/>
  <c r="G254" i="23"/>
  <c r="O247" i="23"/>
  <c r="J34" i="17"/>
  <c r="J30" i="17"/>
  <c r="J33" i="17"/>
  <c r="I25" i="17"/>
  <c r="K34" i="16"/>
  <c r="K33" i="16"/>
  <c r="K30" i="16"/>
  <c r="K48" i="14"/>
  <c r="H254" i="23"/>
  <c r="T16" i="16"/>
  <c r="T31" i="16" s="1"/>
  <c r="T35" i="16" s="1"/>
  <c r="P28" i="16"/>
  <c r="P31" i="16"/>
  <c r="P35" i="16" s="1"/>
  <c r="P27" i="16"/>
  <c r="P32" i="16"/>
  <c r="P29" i="16"/>
  <c r="I25" i="14"/>
  <c r="M25" i="13"/>
  <c r="P11" i="17"/>
  <c r="V10" i="17" s="1"/>
  <c r="J30" i="14"/>
  <c r="J33" i="14"/>
  <c r="J34" i="14"/>
  <c r="I25" i="13"/>
  <c r="I30" i="14"/>
  <c r="I33" i="14"/>
  <c r="I34" i="14"/>
  <c r="R9" i="9"/>
  <c r="P24" i="9"/>
  <c r="P20" i="9"/>
  <c r="R15" i="9"/>
  <c r="R11" i="9"/>
  <c r="I25" i="12"/>
  <c r="L34" i="13"/>
  <c r="L30" i="13"/>
  <c r="L33" i="13"/>
  <c r="O34" i="12"/>
  <c r="O30" i="12"/>
  <c r="O33" i="12"/>
  <c r="H48" i="10"/>
  <c r="F48" i="9"/>
  <c r="J33" i="13"/>
  <c r="J34" i="13"/>
  <c r="J30" i="13"/>
  <c r="E33" i="12"/>
  <c r="E34" i="12"/>
  <c r="E30" i="12"/>
  <c r="J25" i="9"/>
  <c r="L33" i="10"/>
  <c r="L30" i="10"/>
  <c r="L34" i="10"/>
  <c r="M33" i="10"/>
  <c r="M30" i="10"/>
  <c r="M34" i="10"/>
  <c r="J25" i="8"/>
  <c r="J49" i="8"/>
  <c r="D31" i="5"/>
  <c r="D34" i="5"/>
  <c r="D35" i="5"/>
  <c r="P17" i="5"/>
  <c r="I25" i="1"/>
  <c r="D25" i="6"/>
  <c r="D49" i="6" s="1"/>
  <c r="R11" i="5"/>
  <c r="R9" i="5"/>
  <c r="P24" i="5"/>
  <c r="P20" i="5"/>
  <c r="O49" i="1"/>
  <c r="O25" i="1"/>
  <c r="J25" i="11"/>
  <c r="R13" i="10"/>
  <c r="O34" i="10"/>
  <c r="T17" i="9"/>
  <c r="O33" i="10"/>
  <c r="O30" i="10"/>
  <c r="G31" i="10"/>
  <c r="G35" i="10" s="1"/>
  <c r="G27" i="10"/>
  <c r="G32" i="10"/>
  <c r="G29" i="10"/>
  <c r="G17" i="10"/>
  <c r="G28" i="10"/>
  <c r="N49" i="5"/>
  <c r="K25" i="5"/>
  <c r="R15" i="1"/>
  <c r="G24" i="1"/>
  <c r="N233" i="24"/>
  <c r="N248" i="24" s="1"/>
  <c r="N48" i="24"/>
  <c r="F30" i="22"/>
  <c r="F17" i="22"/>
  <c r="F26" i="22"/>
  <c r="F29" i="22"/>
  <c r="F33" i="22" s="1"/>
  <c r="F27" i="22"/>
  <c r="O34" i="21"/>
  <c r="O33" i="21"/>
  <c r="O30" i="21"/>
  <c r="I25" i="16"/>
  <c r="M23" i="12"/>
  <c r="E23" i="12"/>
  <c r="L23" i="12"/>
  <c r="D23" i="12"/>
  <c r="K23" i="12"/>
  <c r="D31" i="12"/>
  <c r="D35" i="12" s="1"/>
  <c r="J23" i="12"/>
  <c r="D17" i="12"/>
  <c r="D27" i="12"/>
  <c r="I23" i="12"/>
  <c r="D29" i="12"/>
  <c r="H23" i="12"/>
  <c r="P16" i="12"/>
  <c r="D32" i="12"/>
  <c r="O23" i="12"/>
  <c r="G23" i="12"/>
  <c r="N23" i="12"/>
  <c r="F23" i="12"/>
  <c r="D28" i="12"/>
  <c r="K30" i="14"/>
  <c r="K33" i="14"/>
  <c r="K34" i="14"/>
  <c r="D236" i="24"/>
  <c r="P81" i="24"/>
  <c r="P236" i="24" s="1"/>
  <c r="L255" i="24"/>
  <c r="P241" i="24"/>
  <c r="P201" i="24"/>
  <c r="D202" i="24"/>
  <c r="P202" i="24" s="1"/>
  <c r="P125" i="24"/>
  <c r="O252" i="23"/>
  <c r="O25" i="20"/>
  <c r="F230" i="23"/>
  <c r="F246" i="23" s="1"/>
  <c r="F26" i="23"/>
  <c r="J25" i="20"/>
  <c r="P37" i="23"/>
  <c r="L34" i="19"/>
  <c r="L30" i="19"/>
  <c r="L33" i="19"/>
  <c r="H25" i="18"/>
  <c r="I34" i="17"/>
  <c r="I33" i="17"/>
  <c r="I30" i="17"/>
  <c r="P16" i="19"/>
  <c r="H255" i="24"/>
  <c r="G252" i="24"/>
  <c r="P240" i="24"/>
  <c r="P256" i="24" s="1"/>
  <c r="M252" i="24"/>
  <c r="N254" i="24"/>
  <c r="P103" i="24"/>
  <c r="H251" i="24"/>
  <c r="L256" i="23"/>
  <c r="P244" i="24"/>
  <c r="L251" i="23"/>
  <c r="L257" i="23"/>
  <c r="D180" i="23"/>
  <c r="P180" i="23" s="1"/>
  <c r="P179" i="23"/>
  <c r="G255" i="23"/>
  <c r="G15" i="23"/>
  <c r="G229" i="23"/>
  <c r="M250" i="23"/>
  <c r="G25" i="21"/>
  <c r="O253" i="23"/>
  <c r="F251" i="23"/>
  <c r="F25" i="21"/>
  <c r="O256" i="23"/>
  <c r="N28" i="20"/>
  <c r="N31" i="20"/>
  <c r="N35" i="20" s="1"/>
  <c r="N29" i="20"/>
  <c r="N27" i="20"/>
  <c r="N17" i="20"/>
  <c r="N32" i="20"/>
  <c r="P88" i="23"/>
  <c r="M248" i="23"/>
  <c r="D30" i="20"/>
  <c r="D33" i="20"/>
  <c r="D34" i="20"/>
  <c r="H25" i="21"/>
  <c r="M33" i="18"/>
  <c r="M30" i="18"/>
  <c r="M34" i="18"/>
  <c r="H29" i="21"/>
  <c r="H32" i="21"/>
  <c r="H27" i="21"/>
  <c r="H17" i="21"/>
  <c r="H31" i="21"/>
  <c r="H35" i="21" s="1"/>
  <c r="H28" i="21"/>
  <c r="D34" i="19"/>
  <c r="D33" i="19"/>
  <c r="D30" i="19"/>
  <c r="O23" i="19"/>
  <c r="D237" i="23"/>
  <c r="D253" i="23" s="1"/>
  <c r="P102" i="23"/>
  <c r="P237" i="23" s="1"/>
  <c r="D103" i="23"/>
  <c r="P103" i="23" s="1"/>
  <c r="N25" i="18"/>
  <c r="N33" i="17"/>
  <c r="N30" i="17"/>
  <c r="N34" i="17"/>
  <c r="F25" i="17"/>
  <c r="P24" i="15"/>
  <c r="P20" i="15"/>
  <c r="R16" i="15"/>
  <c r="J48" i="15"/>
  <c r="R12" i="19"/>
  <c r="R10" i="19"/>
  <c r="S17" i="19"/>
  <c r="R11" i="19"/>
  <c r="P24" i="19"/>
  <c r="P17" i="17"/>
  <c r="D33" i="17"/>
  <c r="D30" i="17"/>
  <c r="D34" i="17"/>
  <c r="N23" i="17"/>
  <c r="I23" i="17"/>
  <c r="J25" i="14"/>
  <c r="K21" i="17"/>
  <c r="K25" i="17" s="1"/>
  <c r="E25" i="18"/>
  <c r="N33" i="16"/>
  <c r="N30" i="16"/>
  <c r="N34" i="16"/>
  <c r="N25" i="13"/>
  <c r="N34" i="14"/>
  <c r="N30" i="14"/>
  <c r="N33" i="14"/>
  <c r="E25" i="13"/>
  <c r="N25" i="15"/>
  <c r="H34" i="12"/>
  <c r="H30" i="12"/>
  <c r="H33" i="12"/>
  <c r="G25" i="12"/>
  <c r="I48" i="12"/>
  <c r="D48" i="12"/>
  <c r="T52" i="11"/>
  <c r="P52" i="11"/>
  <c r="O25" i="7"/>
  <c r="O53" i="7" s="1"/>
  <c r="K25" i="13"/>
  <c r="D25" i="9"/>
  <c r="M33" i="12"/>
  <c r="M34" i="12"/>
  <c r="M30" i="12"/>
  <c r="N48" i="10"/>
  <c r="K25" i="10"/>
  <c r="K48" i="10"/>
  <c r="O49" i="7"/>
  <c r="M48" i="10"/>
  <c r="O23" i="9"/>
  <c r="G23" i="9"/>
  <c r="D31" i="9"/>
  <c r="D35" i="9" s="1"/>
  <c r="N23" i="9"/>
  <c r="F23" i="9"/>
  <c r="P16" i="9"/>
  <c r="D27" i="9"/>
  <c r="M23" i="9"/>
  <c r="E23" i="9"/>
  <c r="D32" i="9"/>
  <c r="D29" i="9"/>
  <c r="L23" i="9"/>
  <c r="D23" i="9"/>
  <c r="K23" i="9"/>
  <c r="D28" i="9"/>
  <c r="J23" i="9"/>
  <c r="I23" i="9"/>
  <c r="H23" i="9"/>
  <c r="D17" i="9"/>
  <c r="N49" i="7"/>
  <c r="J30" i="15"/>
  <c r="J33" i="15"/>
  <c r="J34" i="15"/>
  <c r="F34" i="13"/>
  <c r="F33" i="13"/>
  <c r="F30" i="13"/>
  <c r="D33" i="10"/>
  <c r="D30" i="10"/>
  <c r="D34" i="10"/>
  <c r="R11" i="8"/>
  <c r="P24" i="8"/>
  <c r="P20" i="8"/>
  <c r="R15" i="8"/>
  <c r="O49" i="8"/>
  <c r="F49" i="1"/>
  <c r="M35" i="7"/>
  <c r="M31" i="7"/>
  <c r="M34" i="7"/>
  <c r="N33" i="11"/>
  <c r="N30" i="11"/>
  <c r="N34" i="11"/>
  <c r="J30" i="12"/>
  <c r="J33" i="12"/>
  <c r="J34" i="12"/>
  <c r="M34" i="9"/>
  <c r="M33" i="9"/>
  <c r="M30" i="9"/>
  <c r="I31" i="6"/>
  <c r="I34" i="6"/>
  <c r="I35" i="6"/>
  <c r="G25" i="5"/>
  <c r="I34" i="8"/>
  <c r="I31" i="8"/>
  <c r="I35" i="8"/>
  <c r="H31" i="7"/>
  <c r="H34" i="7"/>
  <c r="H35" i="7"/>
  <c r="G49" i="1"/>
  <c r="G25" i="1"/>
  <c r="I31" i="7"/>
  <c r="I34" i="7"/>
  <c r="I35" i="7"/>
  <c r="J48" i="10"/>
  <c r="I35" i="1"/>
  <c r="I31" i="1"/>
  <c r="I34" i="1"/>
  <c r="N34" i="10"/>
  <c r="N33" i="10"/>
  <c r="N30" i="10"/>
  <c r="F49" i="5"/>
  <c r="H49" i="1"/>
  <c r="L25" i="1"/>
  <c r="F35" i="5"/>
  <c r="F34" i="5"/>
  <c r="F31" i="5"/>
  <c r="H34" i="1"/>
  <c r="H35" i="1"/>
  <c r="H31" i="1"/>
  <c r="E34" i="5"/>
  <c r="E35" i="5"/>
  <c r="E31" i="5"/>
  <c r="D25" i="1"/>
  <c r="D49" i="1" s="1"/>
  <c r="R10" i="5"/>
  <c r="P158" i="23"/>
  <c r="L30" i="20"/>
  <c r="L33" i="20"/>
  <c r="L34" i="20"/>
  <c r="J25" i="21"/>
  <c r="E48" i="14"/>
  <c r="E25" i="14"/>
  <c r="I25" i="15"/>
  <c r="P27" i="15"/>
  <c r="P29" i="15"/>
  <c r="P32" i="15"/>
  <c r="P28" i="15"/>
  <c r="P31" i="15"/>
  <c r="P35" i="15" s="1"/>
  <c r="N34" i="15"/>
  <c r="N30" i="15"/>
  <c r="N33" i="15"/>
  <c r="T51" i="11"/>
  <c r="U52" i="11" s="1"/>
  <c r="P51" i="11"/>
  <c r="R52" i="11" s="1"/>
  <c r="G33" i="13"/>
  <c r="G34" i="13"/>
  <c r="G30" i="13"/>
  <c r="F32" i="8"/>
  <c r="F36" i="8" s="1"/>
  <c r="F28" i="8"/>
  <c r="F33" i="8"/>
  <c r="F30" i="8"/>
  <c r="F29" i="8"/>
  <c r="F17" i="8"/>
  <c r="I33" i="10"/>
  <c r="I30" i="10"/>
  <c r="I34" i="10"/>
  <c r="L256" i="24"/>
  <c r="L15" i="24"/>
  <c r="L230" i="24"/>
  <c r="L246" i="24" s="1"/>
  <c r="P14" i="24"/>
  <c r="P230" i="24" s="1"/>
  <c r="D15" i="24"/>
  <c r="D230" i="24"/>
  <c r="D246" i="24" s="1"/>
  <c r="H256" i="24"/>
  <c r="L253" i="24"/>
  <c r="N255" i="23"/>
  <c r="N256" i="23"/>
  <c r="N255" i="24"/>
  <c r="H254" i="24"/>
  <c r="D256" i="24"/>
  <c r="F250" i="24"/>
  <c r="P169" i="24"/>
  <c r="O250" i="23"/>
  <c r="F239" i="23"/>
  <c r="F255" i="23" s="1"/>
  <c r="F125" i="23"/>
  <c r="P125" i="23" s="1"/>
  <c r="L28" i="21"/>
  <c r="L31" i="21"/>
  <c r="L35" i="21" s="1"/>
  <c r="L17" i="21"/>
  <c r="L32" i="21"/>
  <c r="L29" i="21"/>
  <c r="L27" i="21"/>
  <c r="N33" i="18"/>
  <c r="N30" i="18"/>
  <c r="N34" i="18"/>
  <c r="M28" i="20"/>
  <c r="M31" i="20"/>
  <c r="M35" i="20" s="1"/>
  <c r="M27" i="20"/>
  <c r="M32" i="20"/>
  <c r="M29" i="20"/>
  <c r="M17" i="20"/>
  <c r="R12" i="21"/>
  <c r="G23" i="19"/>
  <c r="S9" i="18"/>
  <c r="F25" i="18"/>
  <c r="O33" i="17"/>
  <c r="O30" i="17"/>
  <c r="O34" i="17"/>
  <c r="S35" i="24"/>
  <c r="S35" i="23"/>
  <c r="N254" i="23"/>
  <c r="N21" i="17"/>
  <c r="N25" i="17" s="1"/>
  <c r="D48" i="14"/>
  <c r="J25" i="18"/>
  <c r="I48" i="15"/>
  <c r="J23" i="17"/>
  <c r="N25" i="16"/>
  <c r="L33" i="17"/>
  <c r="L30" i="17"/>
  <c r="L34" i="17"/>
  <c r="H25" i="15"/>
  <c r="H25" i="14"/>
  <c r="F33" i="16"/>
  <c r="F30" i="16"/>
  <c r="F34" i="16"/>
  <c r="I30" i="15"/>
  <c r="I33" i="15"/>
  <c r="I34" i="15"/>
  <c r="H34" i="15"/>
  <c r="H30" i="15"/>
  <c r="H33" i="15"/>
  <c r="F25" i="14"/>
  <c r="L25" i="13"/>
  <c r="H48" i="13"/>
  <c r="L48" i="14"/>
  <c r="O25" i="12"/>
  <c r="P24" i="12"/>
  <c r="P20" i="12"/>
  <c r="R11" i="12"/>
  <c r="R16" i="12"/>
  <c r="L48" i="12"/>
  <c r="O25" i="11"/>
  <c r="R12" i="9"/>
  <c r="O1" i="9"/>
  <c r="M25" i="9"/>
  <c r="L25" i="10"/>
  <c r="L48" i="10"/>
  <c r="D53" i="7"/>
  <c r="F48" i="10"/>
  <c r="K25" i="9"/>
  <c r="G49" i="7"/>
  <c r="E48" i="10"/>
  <c r="F49" i="7"/>
  <c r="J48" i="9"/>
  <c r="J25" i="7"/>
  <c r="J53" i="7" s="1"/>
  <c r="G33" i="11"/>
  <c r="G30" i="11"/>
  <c r="G34" i="11"/>
  <c r="G33" i="9"/>
  <c r="G30" i="9"/>
  <c r="G34" i="9"/>
  <c r="H34" i="8"/>
  <c r="H31" i="8"/>
  <c r="H35" i="8"/>
  <c r="K25" i="8"/>
  <c r="E25" i="8"/>
  <c r="O25" i="6"/>
  <c r="E35" i="7"/>
  <c r="E31" i="7"/>
  <c r="E34" i="7"/>
  <c r="R12" i="6"/>
  <c r="J33" i="10"/>
  <c r="J30" i="10"/>
  <c r="J34" i="10"/>
  <c r="K31" i="1"/>
  <c r="K35" i="1"/>
  <c r="K34" i="1"/>
  <c r="D32" i="6"/>
  <c r="D36" i="6" s="1"/>
  <c r="D28" i="6"/>
  <c r="D30" i="6"/>
  <c r="D33" i="6"/>
  <c r="D29" i="6"/>
  <c r="H23" i="6"/>
  <c r="P16" i="6"/>
  <c r="O23" i="6"/>
  <c r="G23" i="6"/>
  <c r="N23" i="6"/>
  <c r="F23" i="6"/>
  <c r="M23" i="6"/>
  <c r="E23" i="6"/>
  <c r="L23" i="6"/>
  <c r="D23" i="6"/>
  <c r="D17" i="6"/>
  <c r="K23" i="6"/>
  <c r="I23" i="6"/>
  <c r="J23" i="6"/>
  <c r="O49" i="6"/>
  <c r="R11" i="11"/>
  <c r="P20" i="11"/>
  <c r="P24" i="11"/>
  <c r="T24" i="9"/>
  <c r="T25" i="9" s="1"/>
  <c r="R25" i="9"/>
  <c r="K32" i="6"/>
  <c r="K28" i="6"/>
  <c r="K30" i="6"/>
  <c r="K33" i="6"/>
  <c r="K17" i="6"/>
  <c r="R12" i="1"/>
  <c r="H25" i="9"/>
  <c r="F35" i="7"/>
  <c r="F31" i="7"/>
  <c r="F34" i="7"/>
  <c r="R12" i="5"/>
  <c r="M25" i="1"/>
  <c r="E35" i="6"/>
  <c r="E31" i="6"/>
  <c r="E34" i="6"/>
  <c r="O35" i="5"/>
  <c r="O31" i="5"/>
  <c r="O34" i="5"/>
  <c r="N35" i="6"/>
  <c r="N31" i="6"/>
  <c r="N34" i="6"/>
  <c r="K24" i="6"/>
  <c r="H230" i="23"/>
  <c r="H246" i="23" s="1"/>
  <c r="H26" i="23"/>
  <c r="D31" i="18"/>
  <c r="D35" i="18" s="1"/>
  <c r="J23" i="18"/>
  <c r="D27" i="18"/>
  <c r="I23" i="18"/>
  <c r="D32" i="18"/>
  <c r="D29" i="18"/>
  <c r="H23" i="18"/>
  <c r="D17" i="18"/>
  <c r="O23" i="18"/>
  <c r="G23" i="18"/>
  <c r="D28" i="18"/>
  <c r="N23" i="18"/>
  <c r="F23" i="18"/>
  <c r="M23" i="18"/>
  <c r="E23" i="18"/>
  <c r="P16" i="18"/>
  <c r="Q16" i="18" s="1"/>
  <c r="K23" i="18"/>
  <c r="L23" i="18"/>
  <c r="D23" i="18"/>
  <c r="F34" i="15"/>
  <c r="F30" i="15"/>
  <c r="F33" i="15"/>
  <c r="H257" i="24"/>
  <c r="F242" i="24"/>
  <c r="F147" i="24"/>
  <c r="P147" i="24" s="1"/>
  <c r="O255" i="24"/>
  <c r="D254" i="24"/>
  <c r="I25" i="19"/>
  <c r="D235" i="24"/>
  <c r="D70" i="24"/>
  <c r="P70" i="24" s="1"/>
  <c r="P69" i="24"/>
  <c r="P235" i="24" s="1"/>
  <c r="P146" i="24"/>
  <c r="P242" i="24" s="1"/>
  <c r="E251" i="24"/>
  <c r="M257" i="24"/>
  <c r="M47" i="24"/>
  <c r="E47" i="24"/>
  <c r="D47" i="24"/>
  <c r="P92" i="23"/>
  <c r="E253" i="24"/>
  <c r="H26" i="22"/>
  <c r="H29" i="22"/>
  <c r="H33" i="22" s="1"/>
  <c r="H27" i="22"/>
  <c r="H17" i="22"/>
  <c r="H30" i="22"/>
  <c r="F257" i="23"/>
  <c r="P25" i="24"/>
  <c r="P231" i="24" s="1"/>
  <c r="D252" i="23"/>
  <c r="H251" i="23"/>
  <c r="H253" i="23"/>
  <c r="K32" i="22"/>
  <c r="K28" i="22"/>
  <c r="K31" i="22"/>
  <c r="U11" i="20"/>
  <c r="W11" i="20" s="1"/>
  <c r="E236" i="23"/>
  <c r="E252" i="23" s="1"/>
  <c r="E92" i="23"/>
  <c r="F20" i="20"/>
  <c r="F16" i="20"/>
  <c r="P16" i="20" s="1"/>
  <c r="F24" i="20"/>
  <c r="L21" i="20"/>
  <c r="L25" i="20" s="1"/>
  <c r="K21" i="20"/>
  <c r="K25" i="20" s="1"/>
  <c r="P11" i="20"/>
  <c r="G25" i="19" s="1"/>
  <c r="S12" i="18"/>
  <c r="F253" i="24"/>
  <c r="D243" i="24"/>
  <c r="D258" i="24" s="1"/>
  <c r="P157" i="24"/>
  <c r="P243" i="24" s="1"/>
  <c r="D158" i="24"/>
  <c r="P158" i="24" s="1"/>
  <c r="O47" i="24"/>
  <c r="L250" i="24"/>
  <c r="G258" i="24"/>
  <c r="P91" i="24"/>
  <c r="P237" i="24" s="1"/>
  <c r="P253" i="24" s="1"/>
  <c r="D237" i="24"/>
  <c r="D253" i="24" s="1"/>
  <c r="D92" i="24"/>
  <c r="P92" i="24" s="1"/>
  <c r="E258" i="24"/>
  <c r="E254" i="24"/>
  <c r="K47" i="24"/>
  <c r="K48" i="24" s="1"/>
  <c r="O246" i="24"/>
  <c r="L47" i="24"/>
  <c r="N252" i="24"/>
  <c r="P169" i="23"/>
  <c r="O253" i="24"/>
  <c r="J47" i="24"/>
  <c r="J48" i="24" s="1"/>
  <c r="P124" i="23"/>
  <c r="P239" i="23" s="1"/>
  <c r="P255" i="23" s="1"/>
  <c r="O26" i="22"/>
  <c r="O29" i="22"/>
  <c r="O33" i="22" s="1"/>
  <c r="O30" i="22"/>
  <c r="O17" i="22"/>
  <c r="O27" i="22"/>
  <c r="N252" i="23"/>
  <c r="E70" i="23"/>
  <c r="P70" i="23" s="1"/>
  <c r="E234" i="23"/>
  <c r="E248" i="23" s="1"/>
  <c r="H247" i="23"/>
  <c r="E28" i="21"/>
  <c r="E31" i="21"/>
  <c r="E35" i="21" s="1"/>
  <c r="E29" i="21"/>
  <c r="E27" i="21"/>
  <c r="E32" i="21"/>
  <c r="E17" i="21"/>
  <c r="G253" i="23"/>
  <c r="M28" i="22"/>
  <c r="M31" i="22"/>
  <c r="M32" i="22"/>
  <c r="M28" i="21"/>
  <c r="M31" i="21"/>
  <c r="M35" i="21" s="1"/>
  <c r="M29" i="21"/>
  <c r="M17" i="21"/>
  <c r="M32" i="21"/>
  <c r="M27" i="21"/>
  <c r="F256" i="23"/>
  <c r="O255" i="23"/>
  <c r="K34" i="21"/>
  <c r="K30" i="21"/>
  <c r="K33" i="21"/>
  <c r="F33" i="18"/>
  <c r="F30" i="18"/>
  <c r="F34" i="18"/>
  <c r="I29" i="21"/>
  <c r="I32" i="21"/>
  <c r="I27" i="21"/>
  <c r="I17" i="21"/>
  <c r="I28" i="21"/>
  <c r="I31" i="21"/>
  <c r="I35" i="21" s="1"/>
  <c r="R10" i="21"/>
  <c r="L34" i="18"/>
  <c r="L33" i="18"/>
  <c r="L30" i="18"/>
  <c r="O25" i="23"/>
  <c r="E25" i="23"/>
  <c r="F14" i="23"/>
  <c r="N25" i="23"/>
  <c r="O14" i="23"/>
  <c r="M14" i="23"/>
  <c r="L14" i="23"/>
  <c r="I25" i="23"/>
  <c r="I26" i="23" s="1"/>
  <c r="L25" i="23"/>
  <c r="O25" i="19"/>
  <c r="I27" i="17"/>
  <c r="D25" i="21"/>
  <c r="I34" i="20"/>
  <c r="I30" i="20"/>
  <c r="I33" i="20"/>
  <c r="G33" i="17"/>
  <c r="G30" i="17"/>
  <c r="G34" i="17"/>
  <c r="L248" i="23"/>
  <c r="F254" i="23"/>
  <c r="O28" i="20"/>
  <c r="O31" i="20"/>
  <c r="O35" i="20" s="1"/>
  <c r="O29" i="20"/>
  <c r="O32" i="20"/>
  <c r="O17" i="20"/>
  <c r="O27" i="20"/>
  <c r="K25" i="18"/>
  <c r="L34" i="16"/>
  <c r="L33" i="16"/>
  <c r="L30" i="16"/>
  <c r="M33" i="15"/>
  <c r="M34" i="15"/>
  <c r="M30" i="15"/>
  <c r="M25" i="19"/>
  <c r="P16" i="17"/>
  <c r="V9" i="16"/>
  <c r="T9" i="16"/>
  <c r="L30" i="14"/>
  <c r="L33" i="14"/>
  <c r="L34" i="14"/>
  <c r="P20" i="16"/>
  <c r="R16" i="16"/>
  <c r="V11" i="16"/>
  <c r="T11" i="16"/>
  <c r="X10" i="16" s="1"/>
  <c r="X11" i="16" s="1"/>
  <c r="P24" i="16"/>
  <c r="V12" i="16"/>
  <c r="H33" i="13"/>
  <c r="H34" i="13"/>
  <c r="H30" i="13"/>
  <c r="P24" i="14"/>
  <c r="P20" i="14"/>
  <c r="R11" i="14"/>
  <c r="R17" i="14"/>
  <c r="D25" i="13"/>
  <c r="F25" i="15"/>
  <c r="J25" i="13"/>
  <c r="I48" i="13"/>
  <c r="R12" i="13"/>
  <c r="D48" i="13"/>
  <c r="I30" i="12"/>
  <c r="I33" i="12"/>
  <c r="I34" i="12"/>
  <c r="H25" i="11"/>
  <c r="K49" i="7"/>
  <c r="G48" i="12"/>
  <c r="J25" i="12"/>
  <c r="E25" i="12"/>
  <c r="G25" i="11"/>
  <c r="O48" i="11"/>
  <c r="F31" i="10"/>
  <c r="F35" i="10" s="1"/>
  <c r="F27" i="10"/>
  <c r="F32" i="10"/>
  <c r="F29" i="10"/>
  <c r="F17" i="10"/>
  <c r="F28" i="10"/>
  <c r="H23" i="10"/>
  <c r="P16" i="10"/>
  <c r="F25" i="11"/>
  <c r="E25" i="9"/>
  <c r="F31" i="12"/>
  <c r="F35" i="12" s="1"/>
  <c r="F17" i="12"/>
  <c r="F27" i="12"/>
  <c r="F29" i="12"/>
  <c r="F32" i="12"/>
  <c r="F28" i="12"/>
  <c r="H49" i="7"/>
  <c r="K31" i="10"/>
  <c r="K27" i="10"/>
  <c r="K32" i="10"/>
  <c r="K17" i="10"/>
  <c r="K29" i="10"/>
  <c r="N25" i="12"/>
  <c r="K48" i="9"/>
  <c r="F25" i="12"/>
  <c r="I23" i="10"/>
  <c r="M35" i="8"/>
  <c r="M34" i="8"/>
  <c r="M31" i="8"/>
  <c r="R10" i="7"/>
  <c r="P24" i="7"/>
  <c r="P20" i="7"/>
  <c r="R11" i="7"/>
  <c r="H34" i="10"/>
  <c r="H33" i="10"/>
  <c r="H30" i="10"/>
  <c r="D49" i="8"/>
  <c r="M25" i="8"/>
  <c r="G25" i="8"/>
  <c r="H25" i="6"/>
  <c r="I33" i="11"/>
  <c r="I30" i="11"/>
  <c r="I34" i="11"/>
  <c r="F33" i="9"/>
  <c r="F30" i="9"/>
  <c r="F34" i="9"/>
  <c r="O34" i="8"/>
  <c r="O31" i="8"/>
  <c r="O35" i="8"/>
  <c r="G25" i="6"/>
  <c r="J25" i="1"/>
  <c r="J31" i="7"/>
  <c r="J34" i="7"/>
  <c r="J35" i="7"/>
  <c r="J49" i="5"/>
  <c r="L31" i="1"/>
  <c r="L34" i="1"/>
  <c r="L35" i="1"/>
  <c r="M25" i="6"/>
  <c r="P29" i="1"/>
  <c r="P32" i="1"/>
  <c r="P36" i="1" s="1"/>
  <c r="P28" i="1"/>
  <c r="P30" i="1"/>
  <c r="P33" i="1"/>
  <c r="H49" i="6"/>
  <c r="K25" i="11"/>
  <c r="I25" i="8"/>
  <c r="G35" i="7"/>
  <c r="G31" i="7"/>
  <c r="G34" i="7"/>
  <c r="O49" i="5"/>
  <c r="L25" i="5"/>
  <c r="N23" i="1"/>
  <c r="J33" i="9"/>
  <c r="J30" i="9"/>
  <c r="J34" i="9"/>
  <c r="N34" i="12"/>
  <c r="N30" i="12"/>
  <c r="N33" i="12"/>
  <c r="J25" i="6"/>
  <c r="D38" i="22"/>
  <c r="D41" i="22" s="1"/>
  <c r="E25" i="1"/>
  <c r="E49" i="1" s="1"/>
  <c r="M35" i="6"/>
  <c r="M31" i="6"/>
  <c r="M34" i="6"/>
  <c r="F35" i="6"/>
  <c r="F31" i="6"/>
  <c r="F34" i="6"/>
  <c r="G35" i="5"/>
  <c r="G31" i="5"/>
  <c r="G34" i="5"/>
  <c r="L49" i="5"/>
  <c r="G249" i="24" l="1"/>
  <c r="G247" i="24"/>
  <c r="G248" i="24"/>
  <c r="H249" i="24"/>
  <c r="H247" i="24"/>
  <c r="H248" i="24"/>
  <c r="N231" i="24"/>
  <c r="N247" i="24" s="1"/>
  <c r="N26" i="24"/>
  <c r="E231" i="24"/>
  <c r="E246" i="24" s="1"/>
  <c r="E26" i="24"/>
  <c r="M15" i="24"/>
  <c r="M230" i="24"/>
  <c r="M231" i="24"/>
  <c r="M26" i="24"/>
  <c r="G15" i="24"/>
  <c r="P15" i="24" s="1"/>
  <c r="G230" i="24"/>
  <c r="G246" i="24" s="1"/>
  <c r="H230" i="24"/>
  <c r="H246" i="24" s="1"/>
  <c r="H15" i="24"/>
  <c r="P17" i="10"/>
  <c r="P34" i="10" s="1"/>
  <c r="H48" i="24"/>
  <c r="P251" i="24"/>
  <c r="D255" i="23"/>
  <c r="G245" i="23"/>
  <c r="G48" i="24"/>
  <c r="D246" i="23"/>
  <c r="D256" i="23"/>
  <c r="P251" i="23"/>
  <c r="N230" i="24"/>
  <c r="N15" i="24"/>
  <c r="R36" i="24"/>
  <c r="P256" i="23"/>
  <c r="P213" i="24"/>
  <c r="P33" i="10"/>
  <c r="P30" i="10"/>
  <c r="Z12" i="8"/>
  <c r="X12" i="7"/>
  <c r="P31" i="20"/>
  <c r="P35" i="20" s="1"/>
  <c r="P29" i="20"/>
  <c r="P32" i="20"/>
  <c r="P27" i="20"/>
  <c r="P28" i="20"/>
  <c r="P35" i="1"/>
  <c r="P34" i="1"/>
  <c r="P31" i="1"/>
  <c r="E33" i="21"/>
  <c r="E34" i="21"/>
  <c r="E30" i="21"/>
  <c r="F35" i="8"/>
  <c r="F34" i="8"/>
  <c r="F31" i="8"/>
  <c r="F34" i="12"/>
  <c r="F30" i="12"/>
  <c r="F33" i="12"/>
  <c r="F229" i="23"/>
  <c r="F245" i="23" s="1"/>
  <c r="F15" i="23"/>
  <c r="M34" i="21"/>
  <c r="M33" i="21"/>
  <c r="M30" i="21"/>
  <c r="E250" i="23"/>
  <c r="E249" i="23"/>
  <c r="D48" i="24"/>
  <c r="P47" i="24"/>
  <c r="P233" i="24" s="1"/>
  <c r="P249" i="24" s="1"/>
  <c r="D233" i="24"/>
  <c r="F258" i="24"/>
  <c r="F257" i="24"/>
  <c r="F256" i="24"/>
  <c r="P28" i="18"/>
  <c r="T16" i="18"/>
  <c r="T31" i="18" s="1"/>
  <c r="T35" i="18" s="1"/>
  <c r="P31" i="18"/>
  <c r="P35" i="18" s="1"/>
  <c r="P27" i="18"/>
  <c r="P29" i="18"/>
  <c r="P32" i="18"/>
  <c r="D34" i="18"/>
  <c r="D33" i="18"/>
  <c r="D30" i="18"/>
  <c r="P17" i="18"/>
  <c r="T135" i="24"/>
  <c r="D34" i="11"/>
  <c r="D33" i="11"/>
  <c r="D30" i="11"/>
  <c r="P17" i="11"/>
  <c r="V9" i="18"/>
  <c r="V10" i="18"/>
  <c r="E33" i="19"/>
  <c r="E34" i="19"/>
  <c r="E30" i="19"/>
  <c r="E26" i="23"/>
  <c r="E230" i="23"/>
  <c r="E246" i="23" s="1"/>
  <c r="P25" i="23"/>
  <c r="P230" i="23" s="1"/>
  <c r="O34" i="20"/>
  <c r="O33" i="20"/>
  <c r="O30" i="20"/>
  <c r="H28" i="22"/>
  <c r="H31" i="22"/>
  <c r="H32" i="22"/>
  <c r="M233" i="24"/>
  <c r="M48" i="24"/>
  <c r="D251" i="24"/>
  <c r="D250" i="24"/>
  <c r="M30" i="20"/>
  <c r="M33" i="20"/>
  <c r="M34" i="20"/>
  <c r="P250" i="23"/>
  <c r="P246" i="24"/>
  <c r="P28" i="9"/>
  <c r="P31" i="9"/>
  <c r="P35" i="9" s="1"/>
  <c r="P27" i="9"/>
  <c r="P29" i="9"/>
  <c r="P32" i="9"/>
  <c r="P252" i="24"/>
  <c r="D30" i="12"/>
  <c r="D33" i="12"/>
  <c r="D34" i="12"/>
  <c r="P17" i="12"/>
  <c r="T135" i="23"/>
  <c r="P231" i="23"/>
  <c r="P247" i="23" s="1"/>
  <c r="R36" i="23"/>
  <c r="O25" i="16"/>
  <c r="J25" i="19"/>
  <c r="O33" i="19"/>
  <c r="O30" i="19"/>
  <c r="O34" i="19"/>
  <c r="F28" i="20"/>
  <c r="F31" i="20"/>
  <c r="F35" i="20" s="1"/>
  <c r="F29" i="20"/>
  <c r="F32" i="20"/>
  <c r="F27" i="20"/>
  <c r="F17" i="20"/>
  <c r="F23" i="20"/>
  <c r="J23" i="20"/>
  <c r="M23" i="20"/>
  <c r="G23" i="20"/>
  <c r="O23" i="20"/>
  <c r="H23" i="20"/>
  <c r="N23" i="20"/>
  <c r="I23" i="20"/>
  <c r="D35" i="6"/>
  <c r="D31" i="6"/>
  <c r="D34" i="6"/>
  <c r="P17" i="6"/>
  <c r="D252" i="24"/>
  <c r="D34" i="7"/>
  <c r="D35" i="7"/>
  <c r="P17" i="7"/>
  <c r="D31" i="7"/>
  <c r="D25" i="16"/>
  <c r="K23" i="20"/>
  <c r="P34" i="15"/>
  <c r="P30" i="15"/>
  <c r="P33" i="15"/>
  <c r="P32" i="13"/>
  <c r="P31" i="13"/>
  <c r="P35" i="13" s="1"/>
  <c r="P27" i="13"/>
  <c r="P29" i="13"/>
  <c r="P28" i="13"/>
  <c r="P34" i="14"/>
  <c r="P30" i="14"/>
  <c r="P33" i="14"/>
  <c r="P33" i="16"/>
  <c r="P30" i="16"/>
  <c r="P34" i="16"/>
  <c r="K25" i="19"/>
  <c r="G34" i="21"/>
  <c r="G33" i="21"/>
  <c r="G30" i="21"/>
  <c r="E251" i="23"/>
  <c r="P29" i="21"/>
  <c r="P32" i="21"/>
  <c r="P27" i="21"/>
  <c r="P31" i="21"/>
  <c r="P35" i="21" s="1"/>
  <c r="P28" i="21"/>
  <c r="E28" i="22"/>
  <c r="E31" i="22"/>
  <c r="E32" i="22"/>
  <c r="O230" i="23"/>
  <c r="O246" i="23" s="1"/>
  <c r="O26" i="23"/>
  <c r="P33" i="17"/>
  <c r="P30" i="17"/>
  <c r="P34" i="17"/>
  <c r="N25" i="19"/>
  <c r="P32" i="19"/>
  <c r="P29" i="19"/>
  <c r="P27" i="19"/>
  <c r="P31" i="19"/>
  <c r="P35" i="19" s="1"/>
  <c r="P28" i="19"/>
  <c r="N249" i="24"/>
  <c r="G34" i="10"/>
  <c r="G33" i="10"/>
  <c r="G30" i="10"/>
  <c r="P30" i="7"/>
  <c r="P33" i="7"/>
  <c r="P29" i="7"/>
  <c r="P32" i="7"/>
  <c r="P36" i="7" s="1"/>
  <c r="P28" i="7"/>
  <c r="P254" i="24"/>
  <c r="K39" i="21"/>
  <c r="K38" i="22"/>
  <c r="G28" i="22"/>
  <c r="G31" i="22"/>
  <c r="G32" i="22"/>
  <c r="F33" i="17"/>
  <c r="F30" i="17"/>
  <c r="F34" i="17"/>
  <c r="H245" i="23"/>
  <c r="I34" i="21"/>
  <c r="I30" i="21"/>
  <c r="I33" i="21"/>
  <c r="P33" i="19"/>
  <c r="P30" i="19"/>
  <c r="P34" i="19"/>
  <c r="D34" i="13"/>
  <c r="P17" i="13"/>
  <c r="D30" i="13"/>
  <c r="D33" i="13"/>
  <c r="L230" i="23"/>
  <c r="L246" i="23" s="1"/>
  <c r="L26" i="23"/>
  <c r="P31" i="10"/>
  <c r="P35" i="10" s="1"/>
  <c r="P27" i="10"/>
  <c r="P32" i="10"/>
  <c r="P29" i="10"/>
  <c r="P28" i="10"/>
  <c r="L229" i="23"/>
  <c r="L15" i="23"/>
  <c r="M229" i="23"/>
  <c r="M245" i="23" s="1"/>
  <c r="M15" i="23"/>
  <c r="O28" i="22"/>
  <c r="O31" i="22"/>
  <c r="O32" i="22"/>
  <c r="P250" i="24"/>
  <c r="K34" i="6"/>
  <c r="K35" i="6"/>
  <c r="K31" i="6"/>
  <c r="D34" i="9"/>
  <c r="P17" i="9"/>
  <c r="D33" i="9"/>
  <c r="D30" i="9"/>
  <c r="D257" i="24"/>
  <c r="P27" i="12"/>
  <c r="P29" i="12"/>
  <c r="P32" i="12"/>
  <c r="P28" i="12"/>
  <c r="P31" i="12"/>
  <c r="P35" i="12" s="1"/>
  <c r="F253" i="23"/>
  <c r="L23" i="20"/>
  <c r="P28" i="11"/>
  <c r="P31" i="11"/>
  <c r="P35" i="11" s="1"/>
  <c r="P27" i="11"/>
  <c r="P29" i="11"/>
  <c r="P32" i="11"/>
  <c r="P26" i="22"/>
  <c r="P29" i="22"/>
  <c r="P33" i="22" s="1"/>
  <c r="P27" i="22"/>
  <c r="R16" i="20"/>
  <c r="P30" i="22"/>
  <c r="P249" i="23"/>
  <c r="D30" i="21"/>
  <c r="D33" i="21"/>
  <c r="P17" i="21"/>
  <c r="D34" i="21"/>
  <c r="O233" i="24"/>
  <c r="O48" i="24"/>
  <c r="E48" i="24"/>
  <c r="E233" i="24"/>
  <c r="F28" i="22"/>
  <c r="F31" i="22"/>
  <c r="F32" i="22"/>
  <c r="P33" i="6"/>
  <c r="P29" i="6"/>
  <c r="P32" i="6"/>
  <c r="P36" i="6" s="1"/>
  <c r="P28" i="6"/>
  <c r="P30" i="6"/>
  <c r="O229" i="23"/>
  <c r="O245" i="23" s="1"/>
  <c r="O15" i="23"/>
  <c r="F25" i="19"/>
  <c r="P253" i="23"/>
  <c r="F248" i="24"/>
  <c r="H25" i="16"/>
  <c r="E245" i="23"/>
  <c r="D249" i="23"/>
  <c r="D248" i="23"/>
  <c r="G25" i="16"/>
  <c r="P24" i="6"/>
  <c r="P14" i="23"/>
  <c r="P229" i="23" s="1"/>
  <c r="P245" i="23" s="1"/>
  <c r="P255" i="24"/>
  <c r="P252" i="23"/>
  <c r="P254" i="23"/>
  <c r="K33" i="10"/>
  <c r="K30" i="10"/>
  <c r="K34" i="10"/>
  <c r="F34" i="10"/>
  <c r="F33" i="10"/>
  <c r="F30" i="10"/>
  <c r="T16" i="17"/>
  <c r="T31" i="17" s="1"/>
  <c r="T35" i="17" s="1"/>
  <c r="P28" i="17"/>
  <c r="P31" i="17"/>
  <c r="P35" i="17" s="1"/>
  <c r="P27" i="17"/>
  <c r="P32" i="17"/>
  <c r="P29" i="17"/>
  <c r="L25" i="19"/>
  <c r="N230" i="23"/>
  <c r="N246" i="23" s="1"/>
  <c r="N26" i="23"/>
  <c r="L233" i="24"/>
  <c r="L48" i="24"/>
  <c r="R11" i="20"/>
  <c r="P24" i="20"/>
  <c r="R10" i="20"/>
  <c r="D25" i="19"/>
  <c r="E25" i="19"/>
  <c r="P258" i="24"/>
  <c r="L34" i="21"/>
  <c r="L30" i="21"/>
  <c r="L33" i="21"/>
  <c r="H34" i="21"/>
  <c r="H30" i="21"/>
  <c r="H33" i="21"/>
  <c r="N33" i="20"/>
  <c r="N34" i="20"/>
  <c r="N30" i="20"/>
  <c r="F247" i="24"/>
  <c r="P257" i="24"/>
  <c r="P35" i="5"/>
  <c r="P31" i="5"/>
  <c r="P34" i="5"/>
  <c r="Q16" i="17"/>
  <c r="T11" i="17"/>
  <c r="P24" i="17"/>
  <c r="V11" i="17"/>
  <c r="P20" i="17"/>
  <c r="V12" i="17"/>
  <c r="J25" i="16"/>
  <c r="F25" i="16"/>
  <c r="K25" i="16"/>
  <c r="E25" i="16"/>
  <c r="V9" i="17"/>
  <c r="H25" i="19"/>
  <c r="D35" i="8"/>
  <c r="P17" i="8"/>
  <c r="D31" i="8"/>
  <c r="D34" i="8"/>
  <c r="P33" i="8"/>
  <c r="P30" i="8"/>
  <c r="P29" i="8"/>
  <c r="P32" i="8"/>
  <c r="P36" i="8" s="1"/>
  <c r="P28" i="8"/>
  <c r="E30" i="20"/>
  <c r="E33" i="20"/>
  <c r="E34" i="20"/>
  <c r="M25" i="16"/>
  <c r="L25" i="16"/>
  <c r="D32" i="22"/>
  <c r="D28" i="22"/>
  <c r="D31" i="22"/>
  <c r="P17" i="22"/>
  <c r="R22" i="21"/>
  <c r="N28" i="22"/>
  <c r="N31" i="22"/>
  <c r="N32" i="22"/>
  <c r="G34" i="1"/>
  <c r="G35" i="1"/>
  <c r="G31" i="1"/>
  <c r="H33" i="19"/>
  <c r="H30" i="19"/>
  <c r="H34" i="19"/>
  <c r="D251" i="23"/>
  <c r="N246" i="24" l="1"/>
  <c r="M246" i="24"/>
  <c r="P15" i="23"/>
  <c r="P26" i="24"/>
  <c r="P33" i="9"/>
  <c r="P30" i="9"/>
  <c r="P34" i="9"/>
  <c r="N40" i="21"/>
  <c r="K40" i="21"/>
  <c r="D249" i="24"/>
  <c r="D248" i="24"/>
  <c r="D247" i="24"/>
  <c r="W135" i="24"/>
  <c r="P48" i="24"/>
  <c r="P248" i="24"/>
  <c r="P33" i="18"/>
  <c r="P30" i="18"/>
  <c r="P34" i="18"/>
  <c r="T17" i="18"/>
  <c r="X13" i="7"/>
  <c r="Z12" i="7"/>
  <c r="X12" i="6"/>
  <c r="P34" i="12"/>
  <c r="P30" i="12"/>
  <c r="P33" i="12"/>
  <c r="P28" i="22"/>
  <c r="P31" i="22"/>
  <c r="P32" i="22"/>
  <c r="P30" i="21"/>
  <c r="P33" i="21"/>
  <c r="P34" i="21"/>
  <c r="E249" i="24"/>
  <c r="E247" i="24"/>
  <c r="E248" i="24"/>
  <c r="L249" i="24"/>
  <c r="L247" i="24"/>
  <c r="L248" i="24"/>
  <c r="L245" i="23"/>
  <c r="P31" i="7"/>
  <c r="P34" i="7"/>
  <c r="P35" i="7"/>
  <c r="F33" i="20"/>
  <c r="F34" i="20"/>
  <c r="F30" i="20"/>
  <c r="P17" i="20"/>
  <c r="P246" i="23"/>
  <c r="P31" i="6"/>
  <c r="P34" i="6"/>
  <c r="P35" i="6"/>
  <c r="R35" i="24"/>
  <c r="S36" i="24" s="1"/>
  <c r="T36" i="24" s="1"/>
  <c r="U36" i="24" s="1"/>
  <c r="R35" i="23"/>
  <c r="S36" i="23" s="1"/>
  <c r="T36" i="23" s="1"/>
  <c r="U36" i="23" s="1"/>
  <c r="N245" i="23"/>
  <c r="M249" i="24"/>
  <c r="M247" i="24"/>
  <c r="M248" i="24"/>
  <c r="P33" i="11"/>
  <c r="P30" i="11"/>
  <c r="P34" i="11"/>
  <c r="P34" i="8"/>
  <c r="P31" i="8"/>
  <c r="P35" i="8"/>
  <c r="P247" i="24"/>
  <c r="O249" i="24"/>
  <c r="O247" i="24"/>
  <c r="O248" i="24"/>
  <c r="P33" i="13"/>
  <c r="P34" i="13"/>
  <c r="P30" i="13"/>
  <c r="K39" i="22"/>
  <c r="N39" i="22"/>
  <c r="P26" i="23"/>
  <c r="K42" i="21" l="1"/>
  <c r="K41" i="21"/>
  <c r="Z12" i="6"/>
  <c r="X13" i="6"/>
  <c r="X12" i="5"/>
  <c r="K40" i="22"/>
  <c r="K41" i="22"/>
  <c r="P34" i="20"/>
  <c r="P33" i="20"/>
  <c r="P30" i="20"/>
  <c r="X13" i="5" l="1"/>
  <c r="Z12" i="5"/>
  <c r="X12" i="1"/>
  <c r="Z12" i="1" l="1"/>
  <c r="X12" i="25"/>
  <c r="X13" i="1"/>
  <c r="X13" i="25" l="1"/>
  <c r="Z12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janti</author>
  </authors>
  <commentList>
    <comment ref="I12" authorId="0" shapeId="0" xr:uid="{B25B710E-C7DC-4931-9750-594474EAF68F}">
      <text>
        <r>
          <rPr>
            <b/>
            <sz val="9"/>
            <color indexed="81"/>
            <rFont val="Tahoma"/>
            <family val="2"/>
          </rPr>
          <t>janti:</t>
        </r>
        <r>
          <rPr>
            <sz val="9"/>
            <color indexed="81"/>
            <rFont val="Tahoma"/>
            <family val="2"/>
          </rPr>
          <t xml:space="preserve">
jäähdytystä 3,90 kWh</t>
        </r>
      </text>
    </comment>
    <comment ref="J12" authorId="0" shapeId="0" xr:uid="{A8746900-6D5D-4244-AA97-E79BDD15F671}">
      <text>
        <r>
          <rPr>
            <b/>
            <sz val="9"/>
            <color indexed="81"/>
            <rFont val="Tahoma"/>
            <charset val="1"/>
          </rPr>
          <t>janti:</t>
        </r>
        <r>
          <rPr>
            <sz val="9"/>
            <color indexed="81"/>
            <rFont val="Tahoma"/>
            <charset val="1"/>
          </rPr>
          <t xml:space="preserve">
jäähdytystä 9,17 kWh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Janne Tiainen</author>
  </authors>
  <commentList>
    <comment ref="I1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janti:</t>
        </r>
        <r>
          <rPr>
            <sz val="9"/>
            <color indexed="81"/>
            <rFont val="Tahoma"/>
            <family val="2"/>
          </rPr>
          <t xml:space="preserve">
jäähdytytystä
0,66+0,31=0,97 kWh
Kuivaus 2,03 
Yhteensä 3 kWh
</t>
        </r>
      </text>
    </comment>
    <comment ref="J12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 xml:space="preserve">janti:
</t>
        </r>
        <r>
          <rPr>
            <sz val="9"/>
            <color indexed="81"/>
            <rFont val="Tahoma"/>
            <family val="2"/>
          </rPr>
          <t xml:space="preserve">jäähdytystä
5082,94-5080,62=2,32
5118,31-5083,46=34,85
</t>
        </r>
      </text>
    </comment>
    <comment ref="K12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Janne Tiainen:</t>
        </r>
        <r>
          <rPr>
            <sz val="9"/>
            <color indexed="81"/>
            <rFont val="Tahoma"/>
            <family val="2"/>
          </rPr>
          <t xml:space="preserve">
jäähdytystä
5120,12-5118,31=1,81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2" authorId="0" shapeId="0" xr:uid="{00000000-0006-0000-0500-000001000000}">
      <text>
        <r>
          <rPr>
            <sz val="10"/>
            <color rgb="FF000000"/>
            <rFont val="Arial"/>
            <family val="2"/>
            <scheme val="minor"/>
          </rPr>
          <t>======
ID#AAABOETj6-k
Tuntematon tekijä    (2024-06-06 10:45:31)
Jäähdytystä
2891,11-2875,86 = 15,25</t>
        </r>
      </text>
    </comment>
    <comment ref="I12" authorId="0" shapeId="0" xr:uid="{00000000-0006-0000-0500-000002000000}">
      <text>
        <r>
          <rPr>
            <sz val="10"/>
            <color rgb="FF000000"/>
            <rFont val="Arial"/>
            <family val="2"/>
            <scheme val="minor"/>
          </rPr>
          <t>======
ID#AAABSlm76LM
Janne Tiainen    (2025-01-02 14:53:27)
Jäähdytystä 9,04 kWh
2896,33-2891,11 = 5,22
2906,92-2903,1=3,82</t>
        </r>
      </text>
    </comment>
    <comment ref="J12" authorId="0" shapeId="0" xr:uid="{00000000-0006-0000-0500-000003000000}">
      <text>
        <r>
          <rPr>
            <sz val="10"/>
            <color rgb="FF000000"/>
            <rFont val="Arial"/>
            <family val="2"/>
            <scheme val="minor"/>
          </rPr>
          <t>======
ID#AAABSlm76LQ
Janne Tiainen    (2025-01-02 14:53:27)
Jäähdytystä 2915,22-2906,92 = 8,3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GIrSb6TqoDBXP0Z3K2e6diOJlWQ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600-000001000000}">
      <text>
        <r>
          <rPr>
            <sz val="10"/>
            <color rgb="FF000000"/>
            <rFont val="Arial"/>
            <family val="2"/>
            <scheme val="minor"/>
          </rPr>
          <t>======
ID#AAABIX9dsDY
janti    (2023-09-06 15:18:33)
jäähdytystä kesäkuussa 12,43 kWh</t>
        </r>
      </text>
    </comment>
    <comment ref="K12" authorId="0" shapeId="0" xr:uid="{00000000-0006-0000-0600-000002000000}">
      <text>
        <r>
          <rPr>
            <sz val="10"/>
            <color rgb="FF000000"/>
            <rFont val="Arial"/>
            <family val="2"/>
            <scheme val="minor"/>
          </rPr>
          <t>======
ID#AAABIXzg7Pg
janti    (2023-09-06 15:18:33)
jäähdytystä elokuussa 5,45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aJLxOECohbCBXZKQRqtFAT1KOZA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700-000001000000}">
      <text>
        <r>
          <rPr>
            <sz val="10"/>
            <color rgb="FF000000"/>
            <rFont val="Arial"/>
            <family val="2"/>
            <scheme val="minor"/>
          </rPr>
          <t>======
ID#AAABIX9dsDc
janti    (2022-06-30 15:51:25)
jäähdytystä 9,1 kWh</t>
        </r>
      </text>
    </comment>
    <comment ref="J12" authorId="0" shapeId="0" xr:uid="{00000000-0006-0000-0700-000002000000}">
      <text>
        <r>
          <rPr>
            <sz val="10"/>
            <color rgb="FF000000"/>
            <rFont val="Arial"/>
            <family val="2"/>
            <scheme val="minor"/>
          </rPr>
          <t>======
ID#AAABIX9dsDQ
janti    (2022-08-16 10:18:26)
jäähdytystä 11,6 kWh</t>
        </r>
      </text>
    </comment>
    <comment ref="K12" authorId="0" shapeId="0" xr:uid="{00000000-0006-0000-0700-000003000000}">
      <text>
        <r>
          <rPr>
            <sz val="10"/>
            <color rgb="FF000000"/>
            <rFont val="Arial"/>
            <family val="2"/>
            <scheme val="minor"/>
          </rPr>
          <t>======
ID#AAABIX9dsDU
janti    (2022-08-27 14:31:42)
jäähdytys 8,2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vPaxI0VdwfYDI6dF4Ua3sR9HpLQ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800-000001000000}">
      <text>
        <r>
          <rPr>
            <sz val="10"/>
            <color rgb="FF000000"/>
            <rFont val="Arial"/>
            <family val="2"/>
            <scheme val="minor"/>
          </rPr>
          <t>======
ID#AAABIXzg7PU
Tuntematon tekijä    (2022-07-01 15:03:15)
Jäähdytystä 15,58 kWh</t>
        </r>
      </text>
    </comment>
    <comment ref="J12" authorId="0" shapeId="0" xr:uid="{00000000-0006-0000-0800-000002000000}">
      <text>
        <r>
          <rPr>
            <sz val="10"/>
            <color rgb="FF000000"/>
            <rFont val="Arial"/>
            <family val="2"/>
            <scheme val="minor"/>
          </rPr>
          <t>======
ID#AAABIX9dsDI
Tuntematon tekijä    (2022-09-05 05:30:50)
jäähdytystä 41,956 - 15,580 = 26,38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9nTbcXw39JBhL8BZCHBDgtY0DYg=="/>
    </ext>
  </extL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900-000001000000}">
      <text>
        <r>
          <rPr>
            <sz val="10"/>
            <color rgb="FF000000"/>
            <rFont val="Arial"/>
            <family val="2"/>
            <scheme val="minor"/>
          </rPr>
          <t>======
ID#AAAAdLa6gmI
tc={F444AC9E-D861-401C-94E0-F2D465BA0A8B}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11,89 kWh</t>
        </r>
      </text>
    </comment>
    <comment ref="J12" authorId="0" shapeId="0" xr:uid="{00000000-0006-0000-0900-000002000000}">
      <text>
        <r>
          <rPr>
            <sz val="10"/>
            <color rgb="FF000000"/>
            <rFont val="Arial"/>
            <family val="2"/>
            <scheme val="minor"/>
          </rPr>
          <t>======
ID#AAAAdLa6gmc
tc={A1D853E6-5966-42A0-9A5F-B136E00CDD8D}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 0,7 kWh</t>
        </r>
      </text>
    </comment>
    <comment ref="B16" authorId="0" shapeId="0" xr:uid="{00000000-0006-0000-0900-000003000000}">
      <text>
        <r>
          <rPr>
            <sz val="10"/>
            <color rgb="FF000000"/>
            <rFont val="Arial"/>
            <family val="2"/>
            <scheme val="minor"/>
          </rPr>
          <t>======
ID#AAABIX9dsDM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dNUIrSVn2/iCGo8Qdgok+idu24Q=="/>
    </ext>
  </extL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A00-000001000000}">
      <text>
        <r>
          <rPr>
            <sz val="10"/>
            <color rgb="FF000000"/>
            <rFont val="Arial"/>
            <family val="2"/>
            <scheme val="minor"/>
          </rPr>
          <t>======
ID#AAAAdLa6glw
tc={8A1E3178-B83F-48CA-B050-39533483C739}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5,4 kWh</t>
        </r>
      </text>
    </comment>
    <comment ref="J12" authorId="0" shapeId="0" xr:uid="{00000000-0006-0000-0A00-000002000000}">
      <text>
        <r>
          <rPr>
            <sz val="10"/>
            <color rgb="FF000000"/>
            <rFont val="Arial"/>
            <family val="2"/>
            <scheme val="minor"/>
          </rPr>
          <t>======
ID#AAAAdLa6gmM
tc={A1F140BB-8D48-4E79-A2BB-58C9952DE2E3}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12,2 kWh</t>
        </r>
      </text>
    </comment>
    <comment ref="B16" authorId="0" shapeId="0" xr:uid="{00000000-0006-0000-0A00-000003000000}">
      <text>
        <r>
          <rPr>
            <sz val="10"/>
            <color rgb="FF000000"/>
            <rFont val="Arial"/>
            <family val="2"/>
            <scheme val="minor"/>
          </rPr>
          <t>======
ID#AAABIX9dsC8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5s/8EWXNRC0TnuvDPdkav2kFgRg=="/>
    </ext>
  </extL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12" authorId="0" shapeId="0" xr:uid="{00000000-0006-0000-0B00-000001000000}">
      <text>
        <r>
          <rPr>
            <sz val="10"/>
            <color rgb="FF000000"/>
            <rFont val="Arial"/>
            <family val="2"/>
            <scheme val="minor"/>
          </rPr>
          <t>======
ID#AAAAdLa6gl4
Tiainen Janne    (2022-02-14 18:05:42)
Lämmitystä, jäähdytystä 24 kWh</t>
        </r>
      </text>
    </comment>
    <comment ref="K12" authorId="0" shapeId="0" xr:uid="{00000000-0006-0000-0B00-000002000000}">
      <text>
        <r>
          <rPr>
            <sz val="10"/>
            <color rgb="FF000000"/>
            <rFont val="Arial"/>
            <family val="2"/>
            <scheme val="minor"/>
          </rPr>
          <t>======
ID#AAAAdLa6gl8
Tiainen Janne    (2022-02-14 18:05:42)
Jäähdytystä 5614,48-5605,39 = 9,09 kWh</t>
        </r>
      </text>
    </comment>
    <comment ref="B16" authorId="0" shapeId="0" xr:uid="{00000000-0006-0000-0B00-000003000000}">
      <text>
        <r>
          <rPr>
            <sz val="10"/>
            <color rgb="FF000000"/>
            <rFont val="Arial"/>
            <family val="2"/>
            <scheme val="minor"/>
          </rPr>
          <t>======
ID#AAABIXzg7Pc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XWbzix6w4jlvXc77IOdoPLAVp9g=="/>
    </ext>
  </extL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6" authorId="0" shapeId="0" xr:uid="{00000000-0006-0000-0C00-000001000000}">
      <text>
        <r>
          <rPr>
            <sz val="10"/>
            <color rgb="FF000000"/>
            <rFont val="Arial"/>
            <family val="2"/>
            <scheme val="minor"/>
          </rPr>
          <t>======
ID#AAABIXzg7PY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34y1O0mOVuoDgpNEFDC7bmTo0GA=="/>
    </ext>
  </extL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2" authorId="0" shapeId="0" xr:uid="{00000000-0006-0000-0D00-000001000000}">
      <text>
        <r>
          <rPr>
            <sz val="10"/>
            <color rgb="FF000000"/>
            <rFont val="Arial"/>
            <family val="2"/>
            <scheme val="minor"/>
          </rPr>
          <t>======
ID#AAAAdLa6gmo
janti    (2022-02-14 18:05:42)
Jäähdytystä ja kuivausta 2 kWh</t>
        </r>
      </text>
    </comment>
    <comment ref="B16" authorId="0" shapeId="0" xr:uid="{00000000-0006-0000-0D00-000002000000}">
      <text>
        <r>
          <rPr>
            <sz val="10"/>
            <color rgb="FF000000"/>
            <rFont val="Arial"/>
            <family val="2"/>
            <scheme val="minor"/>
          </rPr>
          <t>======
ID#AAABIX9dsDA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1Pp7dcr9TxW0/XQTDJwf4J04DCA=="/>
    </ext>
  </extL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3" authorId="0" shapeId="0" xr:uid="{00000000-0006-0000-0E00-000001000000}">
      <text>
        <r>
          <rPr>
            <sz val="10"/>
            <color rgb="FF000000"/>
            <rFont val="Arial"/>
            <family val="2"/>
            <scheme val="minor"/>
          </rPr>
          <t>======
ID#AAAAdLg_vkc
Janne Tiainen    (2022-02-14 18:05:42)
Lahden LT-lukema /1,02</t>
        </r>
      </text>
    </comment>
    <comment ref="B14" authorId="0" shapeId="0" xr:uid="{00000000-0006-0000-0E00-000002000000}">
      <text>
        <r>
          <rPr>
            <sz val="10"/>
            <color rgb="FF000000"/>
            <rFont val="Arial"/>
            <family val="2"/>
            <scheme val="minor"/>
          </rPr>
          <t>======
ID#AAAAdLa6gmQ
Janne Tiainen    (2022-02-14 18:05:42)
Lahden LT-lukema/1,02</t>
        </r>
      </text>
    </comment>
    <comment ref="B16" authorId="0" shapeId="0" xr:uid="{00000000-0006-0000-0E00-000003000000}">
      <text>
        <r>
          <rPr>
            <sz val="10"/>
            <color rgb="FF000000"/>
            <rFont val="Arial"/>
            <family val="2"/>
            <scheme val="minor"/>
          </rPr>
          <t>======
ID#AAAAdLa6gmA
janti    (2022-02-14 18:05:42)
Muutettu olettukseksi 50% veden käytöstä oli lämmintä vettä.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+pp70kS4mVHaHWxIDN2+OdqEadQ=="/>
    </ext>
  </extL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6" authorId="0" shapeId="0" xr:uid="{00000000-0006-0000-1300-000001000000}">
      <text>
        <r>
          <rPr>
            <sz val="10"/>
            <color rgb="FF000000"/>
            <rFont val="Arial"/>
            <family val="2"/>
            <scheme val="minor"/>
          </rPr>
          <t>======
ID#AAAAdLa6gmg
janti    (2022-02-14 18:05:42)
33 vrl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kIA5lWUcBLTdETxGwYSYW6ygyeg=="/>
    </ext>
  </extL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J44" authorId="0" shapeId="0" xr:uid="{00000000-0006-0000-1700-000001000000}">
      <text>
        <r>
          <rPr>
            <sz val="10"/>
            <color rgb="FF000000"/>
            <rFont val="Arial"/>
            <family val="2"/>
            <scheme val="minor"/>
          </rPr>
          <t>======
ID#AAAAdLa6gmE
janti    (2022-02-14 18:05:42)
asunto tyhjillään. Uusi asukas muutti elokuun alussa</t>
        </r>
      </text>
    </comment>
    <comment ref="I168" authorId="0" shapeId="0" xr:uid="{00000000-0006-0000-1700-000002000000}">
      <text>
        <r>
          <rPr>
            <sz val="10"/>
            <color rgb="FF000000"/>
            <rFont val="Arial"/>
            <family val="2"/>
            <scheme val="minor"/>
          </rPr>
          <t>======
ID#AAABIX9dsDE
Tuntematon tekijä    (2022-03-25 04:44:05)
Ilmalämpöpumppu asennettu kesäkuussa ja sitä käytetään lämmityksessä apuna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jmbEpSOOgUavnjQj98UsKKoAo3A=="/>
    </ext>
  </extLst>
</comments>
</file>

<file path=xl/sharedStrings.xml><?xml version="1.0" encoding="utf-8"?>
<sst xmlns="http://schemas.openxmlformats.org/spreadsheetml/2006/main" count="3348" uniqueCount="488">
  <si>
    <t>SÄHKÖNKULUTUSRAPORTTI</t>
  </si>
  <si>
    <t>http://suja.kapsi.fi/asema-taulukko.php?asema=101130</t>
  </si>
  <si>
    <t>https://hlv.fi/asiakaspalvelu/lammitystarveluvut/</t>
  </si>
  <si>
    <t>Hyvinkää rivitalo 4H+K+S</t>
  </si>
  <si>
    <t>Asuinala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</si>
  <si>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</si>
  <si>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arvio (ilman lvv)</t>
  </si>
  <si>
    <t>kWh/d</t>
  </si>
  <si>
    <t>Kesäkuukaudet</t>
  </si>
  <si>
    <t>https://ilmatieteenlaitos.fi/havaintojen-lataus#!/</t>
  </si>
  <si>
    <t>Tilavuus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</si>
  <si>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</si>
  <si>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t>Jakso</t>
  </si>
  <si>
    <t>Tammi</t>
  </si>
  <si>
    <t>Helmi</t>
  </si>
  <si>
    <t>Maalis</t>
  </si>
  <si>
    <t>Huhti</t>
  </si>
  <si>
    <t xml:space="preserve">Touko </t>
  </si>
  <si>
    <t>Kesä</t>
  </si>
  <si>
    <t>Heinä</t>
  </si>
  <si>
    <t>Elo</t>
  </si>
  <si>
    <t>Syys</t>
  </si>
  <si>
    <t>Loka</t>
  </si>
  <si>
    <t>Marras</t>
  </si>
  <si>
    <t>Joulu</t>
  </si>
  <si>
    <t>Yhteensä</t>
  </si>
  <si>
    <t>päivät kuukaudessa</t>
  </si>
  <si>
    <t>Keskilämpötila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</si>
  <si>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</si>
  <si>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t>Sähkö päivä</t>
  </si>
  <si>
    <t>kWh</t>
  </si>
  <si>
    <t>Sähkö yö</t>
  </si>
  <si>
    <t>Sähkö yhteensä</t>
  </si>
  <si>
    <t>Ilmalämpöpumppu</t>
  </si>
  <si>
    <t>ILP kulutus</t>
  </si>
  <si>
    <t>h</t>
  </si>
  <si>
    <t>Lämmitystarveluku toteutunut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</si>
  <si>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</si>
  <si>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ILP säästö</t>
  </si>
  <si>
    <t>Lämmitystarveluku normivuosi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</si>
  <si>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</si>
  <si>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Lämminvesivaraaja</t>
  </si>
  <si>
    <t>Lämmityssähkö (arvio)</t>
  </si>
  <si>
    <t>Sääkorjattu lämmityssähkö</t>
  </si>
  <si>
    <t>Kulutus päivässä</t>
  </si>
  <si>
    <t>Kumulatiivinen kulutus</t>
  </si>
  <si>
    <t>Kumulatiivinen kulutus ILP</t>
  </si>
  <si>
    <t>Kumulatiivinen kulutus lämmitys</t>
  </si>
  <si>
    <t>Taloussähkö ilman LKV</t>
  </si>
  <si>
    <t>Liukuva 12 kk kulutus</t>
  </si>
  <si>
    <t>Liukuva 12 kk kulutus ILP</t>
  </si>
  <si>
    <t>Lämmitys</t>
  </si>
  <si>
    <t>Lämmityksen osuus kulutuksesta</t>
  </si>
  <si>
    <t>Sähkönkulutus lämmitykseen</t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</si>
  <si>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</si>
  <si>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Norm sähkö lämmitykseen</t>
  </si>
  <si>
    <t>Ominaislämmönkulutus</t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</si>
  <si>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</si>
  <si>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</si>
  <si>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t>Norm lämmönkulutus</t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</si>
  <si>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</si>
  <si>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</si>
  <si>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</si>
  <si>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Vuosikulutusarvio</t>
  </si>
  <si>
    <t>Lämmityssähkö ILPillä</t>
  </si>
  <si>
    <t>Arvio lämmityssähkö ilman ILP</t>
  </si>
  <si>
    <t>Vuosikulutusarvio ilma ILP</t>
  </si>
  <si>
    <t>Lämminvesi</t>
  </si>
  <si>
    <t>Arvio ILPin säästämästä sähköstä</t>
  </si>
  <si>
    <t>Taloussähkö</t>
  </si>
  <si>
    <t>Säästöarvio lämmityssähkönkulutuksesta</t>
  </si>
  <si>
    <t>Säästöarvio kokonaissähkönkulutuksesta</t>
  </si>
  <si>
    <t>Pörssisähkön hinta + kate 0,5 snt/kWh</t>
  </si>
  <si>
    <t>Pörssisähkön tuntikulutuksella painotettu keskihinta</t>
  </si>
  <si>
    <t>liukuva vuosikeskihinta</t>
  </si>
  <si>
    <t>c/kWh</t>
  </si>
  <si>
    <t>Lämmitystarveluvut Hyvinkäällä</t>
  </si>
  <si>
    <t>kk / vuosi</t>
  </si>
  <si>
    <t>normaali</t>
  </si>
  <si>
    <t>Uusi</t>
  </si>
  <si>
    <t>Touko</t>
  </si>
  <si>
    <t> 0</t>
  </si>
  <si>
    <t>Ero normivuoteen</t>
  </si>
  <si>
    <t>Ero 5-vuoden keskiarvoon</t>
  </si>
  <si>
    <t>5-vuoden keskiarvo</t>
  </si>
  <si>
    <t>Liukuva 60 kk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</si>
  <si>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</si>
  <si>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</si>
  <si>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</si>
  <si>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</si>
  <si>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</si>
  <si>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</si>
  <si>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</si>
  <si>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</si>
  <si>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</si>
  <si>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</si>
  <si>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</si>
  <si>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</si>
  <si>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</si>
  <si>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</si>
  <si>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</si>
  <si>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</si>
  <si>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</si>
  <si>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</si>
  <si>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</si>
  <si>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</si>
  <si>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</si>
  <si>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</si>
  <si>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0,35-0,4 snt/kWh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</si>
  <si>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</si>
  <si>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</si>
  <si>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</si>
  <si>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</si>
  <si>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</si>
  <si>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</si>
  <si>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</si>
  <si>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</si>
  <si>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</si>
  <si>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</si>
  <si>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</si>
  <si>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0,4 snt/kWh</t>
  </si>
  <si>
    <t>Kuukausikeskihinta</t>
  </si>
  <si>
    <t>https://hlv.fi/tietopankki/#lammitystarvelukus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</si>
  <si>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</si>
  <si>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</si>
  <si>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</si>
  <si>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</si>
  <si>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</si>
  <si>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</si>
  <si>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</si>
  <si>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</si>
  <si>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</si>
  <si>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</si>
  <si>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</si>
  <si>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Sähkön hinta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</si>
  <si>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</si>
  <si>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</si>
  <si>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</si>
  <si>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</si>
  <si>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</si>
  <si>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</si>
  <si>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</si>
  <si>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</si>
  <si>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</si>
  <si>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</si>
  <si>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</si>
  <si>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</si>
  <si>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</si>
  <si>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</si>
  <si>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</si>
  <si>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</si>
  <si>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</si>
  <si>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</si>
  <si>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</si>
  <si>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</si>
  <si>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</si>
  <si>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</si>
  <si>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</si>
  <si>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</si>
  <si>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</si>
  <si>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</si>
  <si>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</si>
  <si>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</si>
  <si>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</si>
  <si>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</si>
  <si>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</si>
  <si>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</si>
  <si>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</si>
  <si>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</si>
  <si>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snt/kWh</t>
  </si>
  <si>
    <t>€/kk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</si>
  <si>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</si>
  <si>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</si>
  <si>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</si>
  <si>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</si>
  <si>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</si>
  <si>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</si>
  <si>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</si>
  <si>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</si>
  <si>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</si>
  <si>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</si>
  <si>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</si>
  <si>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</si>
  <si>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</si>
  <si>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</si>
  <si>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</si>
  <si>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</si>
  <si>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</si>
  <si>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</si>
  <si>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</si>
  <si>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</si>
  <si>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</si>
  <si>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</si>
  <si>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http://www.saapalvelu.fi/kytaja/kuukausitilastot.php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</si>
  <si>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</si>
  <si>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</si>
  <si>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</si>
  <si>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</si>
  <si>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</si>
  <si>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Taloussähkö ilma LKV</t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</si>
  <si>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</si>
  <si>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</si>
  <si>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</si>
  <si>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</si>
  <si>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</si>
  <si>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</si>
  <si>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</si>
  <si>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</si>
  <si>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</si>
  <si>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</si>
  <si>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</si>
  <si>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</si>
  <si>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</si>
  <si>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</si>
  <si>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</si>
  <si>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</si>
  <si>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</si>
  <si>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</si>
  <si>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</si>
  <si>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t>12 kk liukuva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</si>
  <si>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</si>
  <si>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</si>
  <si>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</si>
  <si>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</si>
  <si>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</si>
  <si>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</si>
  <si>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</si>
  <si>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</si>
  <si>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</si>
  <si>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</si>
  <si>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</si>
  <si>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</si>
  <si>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</si>
  <si>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</si>
  <si>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</si>
  <si>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</si>
  <si>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</si>
  <si>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</si>
  <si>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</si>
  <si>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</si>
  <si>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</si>
  <si>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</si>
  <si>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</si>
  <si>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</si>
  <si>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</si>
  <si>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</si>
  <si>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</si>
  <si>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</si>
  <si>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</si>
  <si>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</si>
  <si>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</si>
  <si>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</si>
  <si>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arvio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</si>
  <si>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</si>
  <si>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</si>
  <si>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</si>
  <si>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</si>
  <si>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</si>
  <si>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</si>
  <si>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</si>
  <si>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</si>
  <si>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</si>
  <si>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</si>
  <si>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</si>
  <si>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ilman kv. arvio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</si>
  <si>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</si>
  <si>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</si>
  <si>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</si>
  <si>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</si>
  <si>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</si>
  <si>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</si>
  <si>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</si>
  <si>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</si>
  <si>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</si>
  <si>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</si>
  <si>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</si>
  <si>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</si>
  <si>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</si>
  <si>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</si>
  <si>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</si>
  <si>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</si>
  <si>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</si>
  <si>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</si>
  <si>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</si>
  <si>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</si>
  <si>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</si>
  <si>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</si>
  <si>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</si>
  <si>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</si>
  <si>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</si>
  <si>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</si>
  <si>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</si>
  <si>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</si>
  <si>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</si>
  <si>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</si>
  <si>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</si>
  <si>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</si>
  <si>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</si>
  <si>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Naapuri nro I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</si>
  <si>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</si>
  <si>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</si>
  <si>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</si>
  <si>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</si>
  <si>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</si>
  <si>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</si>
  <si>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</si>
  <si>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</si>
  <si>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</si>
  <si>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</si>
  <si>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</si>
  <si>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</si>
  <si>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</si>
  <si>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</si>
  <si>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</si>
  <si>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</si>
  <si>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</si>
  <si>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</si>
  <si>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</si>
  <si>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</si>
  <si>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</si>
  <si>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</si>
  <si>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</si>
  <si>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</si>
  <si>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</si>
  <si>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</si>
  <si>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</si>
  <si>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</si>
  <si>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</si>
  <si>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</si>
  <si>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</si>
  <si>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</si>
  <si>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</si>
  <si>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</si>
  <si>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</si>
  <si>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</si>
  <si>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</si>
  <si>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</si>
  <si>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</si>
  <si>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</si>
  <si>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</si>
  <si>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</si>
  <si>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</si>
  <si>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</si>
  <si>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</si>
  <si>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</si>
  <si>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</si>
  <si>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</si>
  <si>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</si>
  <si>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</si>
  <si>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</si>
  <si>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</si>
  <si>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</si>
  <si>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</si>
  <si>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</si>
  <si>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12kk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</si>
  <si>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</si>
  <si>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</si>
  <si>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</si>
  <si>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</si>
  <si>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</si>
  <si>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</si>
  <si>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</si>
  <si>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</si>
  <si>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</si>
  <si>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</si>
  <si>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</si>
  <si>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</si>
  <si>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</si>
  <si>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</si>
  <si>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</si>
  <si>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</si>
  <si>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</si>
  <si>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</si>
  <si>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2007-2009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</si>
  <si>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</si>
  <si>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2008-2010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</si>
  <si>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</si>
  <si>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2009-2011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</si>
  <si>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</si>
  <si>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2010-2012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</si>
  <si>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</si>
  <si>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2011-2013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</si>
  <si>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</si>
  <si>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2012-2014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</si>
  <si>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</si>
  <si>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2013-2015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</si>
  <si>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</si>
  <si>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2014-2016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</si>
  <si>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</si>
  <si>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2015-2017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</si>
  <si>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</si>
  <si>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2016-2018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</si>
  <si>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</si>
  <si>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2017-2019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</si>
  <si>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</si>
  <si>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2018-2020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</si>
  <si>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</si>
  <si>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2019-2021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</si>
  <si>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</si>
  <si>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</si>
  <si>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Naapuri nro II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</si>
  <si>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</si>
  <si>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</si>
  <si>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</si>
  <si>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</si>
  <si>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</si>
  <si>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</si>
  <si>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</si>
  <si>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</si>
  <si>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</si>
  <si>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</si>
  <si>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</si>
  <si>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</si>
  <si>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</si>
  <si>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</si>
  <si>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</si>
  <si>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</si>
  <si>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</si>
  <si>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</si>
  <si>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</si>
  <si>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</si>
  <si>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</si>
  <si>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</si>
  <si>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</si>
  <si>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</si>
  <si>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</si>
  <si>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</si>
  <si>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</si>
  <si>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</si>
  <si>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</si>
  <si>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</si>
  <si>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</si>
  <si>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</si>
  <si>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</si>
  <si>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</si>
  <si>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</si>
  <si>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</si>
  <si>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</si>
  <si>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</si>
  <si>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</si>
  <si>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</si>
  <si>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</si>
  <si>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</si>
  <si>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</si>
  <si>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</si>
  <si>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</si>
  <si>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</si>
  <si>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</si>
  <si>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</si>
  <si>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</si>
  <si>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</si>
  <si>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</si>
  <si>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</si>
  <si>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</si>
  <si>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</si>
  <si>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</si>
  <si>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</si>
  <si>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</si>
  <si>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</si>
  <si>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</si>
  <si>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</si>
  <si>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</si>
  <si>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</si>
  <si>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</si>
  <si>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</si>
  <si>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</si>
  <si>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</si>
  <si>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</si>
  <si>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</si>
  <si>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</si>
  <si>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</si>
  <si>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</si>
  <si>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</si>
  <si>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</si>
  <si>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</si>
  <si>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</si>
  <si>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</si>
  <si>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</si>
  <si>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</si>
  <si>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</si>
  <si>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</si>
  <si>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</si>
  <si>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</si>
  <si>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</si>
  <si>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</si>
  <si>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</si>
  <si>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</si>
  <si>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 snt/kWh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</si>
</sst>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0.0"/>
    <numFmt numFmtId="165" formatCode="0,%"/>
    <numFmt numFmtId="166" formatCode="0.0\ %"/>
    <numFmt numFmtId="167" formatCode="[$-40B]0\ %"/>
    <numFmt numFmtId="168" formatCode="0.0,%"/>
    <numFmt numFmtId="169" formatCode="_-* #,##0.00_-;\-* #,##0.00_-;_-* \-??_-;_-@"/>
    <numFmt numFmtId="170" formatCode="0.0000"/>
    <numFmt numFmtId="171" formatCode="_-* #,##0.00&quot; €&quot;_-;\-* #,##0.00&quot; €&quot;_-;_-* \-??&quot; €&quot;_-;_-@"/>
    <numFmt numFmtId="172" formatCode="[$-40B]d/mmm"/>
    <numFmt numFmtId="173" formatCode="0.000"/>
    <numFmt numFmtId="174" formatCode="_-* #,##0_-;\-* #,##0_-;_-* \-_-;_-@"/>
    <numFmt numFmtId="175" formatCode="#,##0.0"/>
  </numFmts>
  <fonts count="21" x14ac:knownFonts="1">
    <font>
      <sz val="10"/>
      <color rgb="FF000000"/>
      <name val="Arial"/>
      <scheme val="minor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u/>
      <sz val="7"/>
      <color rgb="FF0000FF"/>
      <name val="Arial"/>
      <family val="2"/>
    </font>
    <font>
      <u/>
      <sz val="10"/>
      <color rgb="FF0563C1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b/>
      <sz val="7"/>
      <color rgb="FF2C353E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10"/>
      <color rgb="FF333333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00B0F0"/>
        <bgColor rgb="FF00B0F0"/>
      </patternFill>
    </fill>
    <fill>
      <patternFill patternType="solid">
        <fgColor rgb="FF5B9BD5"/>
        <bgColor rgb="FF5B9BD5"/>
      </patternFill>
    </fill>
    <fill>
      <patternFill patternType="solid">
        <fgColor rgb="FFFFFFCC"/>
        <bgColor rgb="FFFFFFCC"/>
      </patternFill>
    </fill>
    <fill>
      <patternFill patternType="solid">
        <fgColor rgb="FFC6D9F1"/>
        <bgColor rgb="FFC6D9F1"/>
      </patternFill>
    </fill>
    <fill>
      <patternFill patternType="solid">
        <fgColor rgb="FFCCFFFF"/>
        <bgColor rgb="FFCCFFFF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14141"/>
      </left>
      <right style="thin">
        <color rgb="FF414141"/>
      </right>
      <top style="thin">
        <color rgb="FF414141"/>
      </top>
      <bottom style="thin">
        <color rgb="FF41414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rgb="FFEBF1D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EBF1DF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1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2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2" fontId="5" fillId="0" borderId="1" xfId="0" applyNumberFormat="1" applyFont="1" applyBorder="1" applyAlignment="1">
      <alignment horizontal="right"/>
    </xf>
    <xf numFmtId="2" fontId="5" fillId="2" borderId="1" xfId="0" applyNumberFormat="1" applyFont="1" applyFill="1" applyBorder="1" applyAlignment="1">
      <alignment horizontal="right"/>
    </xf>
    <xf numFmtId="165" fontId="5" fillId="0" borderId="0" xfId="0" applyNumberFormat="1" applyFont="1"/>
    <xf numFmtId="2" fontId="5" fillId="0" borderId="0" xfId="0" applyNumberFormat="1" applyFont="1"/>
    <xf numFmtId="0" fontId="6" fillId="0" borderId="2" xfId="0" applyFont="1" applyBorder="1"/>
    <xf numFmtId="0" fontId="6" fillId="0" borderId="3" xfId="0" applyFont="1" applyBorder="1"/>
    <xf numFmtId="1" fontId="6" fillId="0" borderId="1" xfId="0" applyNumberFormat="1" applyFont="1" applyBorder="1" applyAlignment="1">
      <alignment horizontal="right"/>
    </xf>
    <xf numFmtId="1" fontId="6" fillId="2" borderId="1" xfId="0" applyNumberFormat="1" applyFont="1" applyFill="1" applyBorder="1" applyAlignment="1">
      <alignment horizontal="right"/>
    </xf>
    <xf numFmtId="166" fontId="2" fillId="0" borderId="0" xfId="0" applyNumberFormat="1" applyFont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7" fillId="0" borderId="3" xfId="0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2" fillId="0" borderId="0" xfId="0" applyNumberFormat="1" applyFont="1"/>
    <xf numFmtId="0" fontId="2" fillId="0" borderId="3" xfId="0" applyFont="1" applyBorder="1"/>
    <xf numFmtId="3" fontId="2" fillId="0" borderId="1" xfId="0" applyNumberFormat="1" applyFont="1" applyBorder="1" applyAlignment="1">
      <alignment horizontal="right"/>
    </xf>
    <xf numFmtId="1" fontId="2" fillId="0" borderId="4" xfId="0" applyNumberFormat="1" applyFont="1" applyBorder="1"/>
    <xf numFmtId="167" fontId="2" fillId="0" borderId="0" xfId="0" applyNumberFormat="1" applyFont="1"/>
    <xf numFmtId="168" fontId="2" fillId="0" borderId="0" xfId="0" applyNumberFormat="1" applyFont="1"/>
    <xf numFmtId="169" fontId="2" fillId="0" borderId="0" xfId="0" applyNumberFormat="1" applyFont="1"/>
    <xf numFmtId="165" fontId="2" fillId="0" borderId="0" xfId="0" applyNumberFormat="1" applyFont="1"/>
    <xf numFmtId="1" fontId="2" fillId="0" borderId="5" xfId="0" applyNumberFormat="1" applyFont="1" applyBorder="1"/>
    <xf numFmtId="3" fontId="2" fillId="0" borderId="6" xfId="0" applyNumberFormat="1" applyFont="1" applyBorder="1" applyAlignment="1">
      <alignment horizontal="right"/>
    </xf>
    <xf numFmtId="2" fontId="2" fillId="0" borderId="0" xfId="0" applyNumberFormat="1" applyFont="1"/>
    <xf numFmtId="3" fontId="5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wrapText="1"/>
    </xf>
    <xf numFmtId="3" fontId="2" fillId="2" borderId="1" xfId="0" applyNumberFormat="1" applyFont="1" applyFill="1" applyBorder="1" applyAlignment="1">
      <alignment horizontal="right"/>
    </xf>
    <xf numFmtId="1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9" fontId="2" fillId="0" borderId="0" xfId="0" applyNumberFormat="1" applyFont="1"/>
    <xf numFmtId="3" fontId="2" fillId="3" borderId="1" xfId="0" applyNumberFormat="1" applyFont="1" applyFill="1" applyBorder="1" applyAlignment="1">
      <alignment horizontal="right"/>
    </xf>
    <xf numFmtId="2" fontId="2" fillId="0" borderId="7" xfId="0" applyNumberFormat="1" applyFont="1" applyBorder="1" applyAlignment="1">
      <alignment horizontal="right"/>
    </xf>
    <xf numFmtId="170" fontId="2" fillId="0" borderId="0" xfId="0" applyNumberFormat="1" applyFont="1" applyAlignment="1">
      <alignment horizontal="right"/>
    </xf>
    <xf numFmtId="171" fontId="8" fillId="0" borderId="0" xfId="0" applyNumberFormat="1" applyFont="1"/>
    <xf numFmtId="172" fontId="2" fillId="0" borderId="0" xfId="0" applyNumberFormat="1" applyFont="1"/>
    <xf numFmtId="167" fontId="2" fillId="0" borderId="0" xfId="0" applyNumberFormat="1" applyFont="1" applyAlignment="1">
      <alignment horizontal="right"/>
    </xf>
    <xf numFmtId="2" fontId="2" fillId="4" borderId="8" xfId="0" applyNumberFormat="1" applyFont="1" applyFill="1" applyBorder="1" applyAlignment="1">
      <alignment horizontal="right"/>
    </xf>
    <xf numFmtId="0" fontId="2" fillId="0" borderId="9" xfId="0" applyFont="1" applyBorder="1"/>
    <xf numFmtId="1" fontId="2" fillId="0" borderId="9" xfId="0" applyNumberFormat="1" applyFont="1" applyBorder="1" applyAlignment="1">
      <alignment horizontal="right"/>
    </xf>
    <xf numFmtId="2" fontId="2" fillId="0" borderId="9" xfId="0" applyNumberFormat="1" applyFont="1" applyBorder="1" applyAlignment="1">
      <alignment horizontal="left"/>
    </xf>
    <xf numFmtId="9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1" fontId="12" fillId="0" borderId="11" xfId="0" applyNumberFormat="1" applyFont="1" applyBorder="1" applyAlignment="1">
      <alignment horizontal="right" vertical="top"/>
    </xf>
    <xf numFmtId="1" fontId="12" fillId="6" borderId="12" xfId="0" applyNumberFormat="1" applyFont="1" applyFill="1" applyBorder="1" applyAlignment="1">
      <alignment horizontal="right" vertical="top"/>
    </xf>
    <xf numFmtId="0" fontId="9" fillId="2" borderId="8" xfId="0" applyFont="1" applyFill="1" applyBorder="1" applyAlignment="1">
      <alignment horizontal="right"/>
    </xf>
    <xf numFmtId="1" fontId="12" fillId="0" borderId="11" xfId="0" applyNumberFormat="1" applyFont="1" applyBorder="1" applyAlignment="1">
      <alignment horizontal="right" vertical="top" wrapText="1"/>
    </xf>
    <xf numFmtId="0" fontId="9" fillId="7" borderId="8" xfId="0" applyFont="1" applyFill="1" applyBorder="1" applyAlignment="1">
      <alignment horizontal="right"/>
    </xf>
    <xf numFmtId="1" fontId="9" fillId="8" borderId="8" xfId="0" applyNumberFormat="1" applyFont="1" applyFill="1" applyBorder="1"/>
    <xf numFmtId="0" fontId="9" fillId="8" borderId="8" xfId="0" applyFont="1" applyFill="1" applyBorder="1" applyAlignment="1">
      <alignment horizontal="right"/>
    </xf>
    <xf numFmtId="0" fontId="13" fillId="0" borderId="0" xfId="0" applyFont="1"/>
    <xf numFmtId="3" fontId="2" fillId="0" borderId="2" xfId="0" applyNumberFormat="1" applyFont="1" applyBorder="1" applyAlignment="1">
      <alignment horizontal="right"/>
    </xf>
    <xf numFmtId="173" fontId="2" fillId="0" borderId="0" xfId="0" applyNumberFormat="1" applyFont="1"/>
    <xf numFmtId="174" fontId="2" fillId="0" borderId="0" xfId="0" applyNumberFormat="1" applyFont="1"/>
    <xf numFmtId="3" fontId="5" fillId="0" borderId="0" xfId="0" applyNumberFormat="1" applyFont="1"/>
    <xf numFmtId="2" fontId="14" fillId="0" borderId="0" xfId="0" applyNumberFormat="1" applyFont="1"/>
    <xf numFmtId="0" fontId="14" fillId="0" borderId="0" xfId="0" applyFont="1"/>
    <xf numFmtId="3" fontId="2" fillId="2" borderId="13" xfId="0" applyNumberFormat="1" applyFont="1" applyFill="1" applyBorder="1" applyAlignment="1">
      <alignment horizontal="right"/>
    </xf>
    <xf numFmtId="165" fontId="2" fillId="0" borderId="0" xfId="0" applyNumberFormat="1" applyFont="1" applyAlignment="1">
      <alignment horizontal="right"/>
    </xf>
    <xf numFmtId="0" fontId="15" fillId="0" borderId="0" xfId="0" applyFont="1"/>
    <xf numFmtId="168" fontId="2" fillId="0" borderId="0" xfId="0" applyNumberFormat="1" applyFont="1" applyAlignment="1">
      <alignment horizontal="right"/>
    </xf>
    <xf numFmtId="1" fontId="2" fillId="0" borderId="1" xfId="0" applyNumberFormat="1" applyFont="1" applyBorder="1"/>
    <xf numFmtId="1" fontId="5" fillId="0" borderId="1" xfId="0" applyNumberFormat="1" applyFont="1" applyBorder="1" applyAlignment="1">
      <alignment horizontal="right"/>
    </xf>
    <xf numFmtId="1" fontId="5" fillId="2" borderId="1" xfId="0" applyNumberFormat="1" applyFont="1" applyFill="1" applyBorder="1" applyAlignment="1">
      <alignment horizontal="right"/>
    </xf>
    <xf numFmtId="3" fontId="2" fillId="9" borderId="1" xfId="0" applyNumberFormat="1" applyFont="1" applyFill="1" applyBorder="1" applyAlignment="1">
      <alignment horizontal="right"/>
    </xf>
    <xf numFmtId="3" fontId="2" fillId="10" borderId="1" xfId="0" applyNumberFormat="1" applyFont="1" applyFill="1" applyBorder="1" applyAlignment="1">
      <alignment horizontal="right"/>
    </xf>
    <xf numFmtId="1" fontId="5" fillId="0" borderId="0" xfId="0" applyNumberFormat="1" applyFont="1"/>
    <xf numFmtId="164" fontId="5" fillId="0" borderId="0" xfId="0" applyNumberFormat="1" applyFont="1"/>
    <xf numFmtId="0" fontId="2" fillId="0" borderId="7" xfId="0" applyFont="1" applyBorder="1"/>
    <xf numFmtId="3" fontId="2" fillId="0" borderId="0" xfId="0" applyNumberFormat="1" applyFont="1" applyAlignment="1">
      <alignment horizontal="right"/>
    </xf>
    <xf numFmtId="2" fontId="5" fillId="5" borderId="1" xfId="0" applyNumberFormat="1" applyFont="1" applyFill="1" applyBorder="1" applyAlignment="1">
      <alignment horizontal="right"/>
    </xf>
    <xf numFmtId="1" fontId="5" fillId="5" borderId="1" xfId="0" applyNumberFormat="1" applyFont="1" applyFill="1" applyBorder="1" applyAlignment="1">
      <alignment horizontal="right"/>
    </xf>
    <xf numFmtId="164" fontId="2" fillId="5" borderId="1" xfId="0" applyNumberFormat="1" applyFont="1" applyFill="1" applyBorder="1" applyAlignment="1">
      <alignment horizontal="right"/>
    </xf>
    <xf numFmtId="3" fontId="2" fillId="5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3" fontId="2" fillId="2" borderId="8" xfId="0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right"/>
    </xf>
    <xf numFmtId="2" fontId="5" fillId="0" borderId="7" xfId="0" applyNumberFormat="1" applyFont="1" applyBorder="1" applyAlignment="1">
      <alignment horizontal="right"/>
    </xf>
    <xf numFmtId="175" fontId="2" fillId="0" borderId="0" xfId="0" applyNumberFormat="1" applyFont="1"/>
    <xf numFmtId="4" fontId="2" fillId="0" borderId="0" xfId="0" applyNumberFormat="1" applyFont="1"/>
    <xf numFmtId="164" fontId="2" fillId="3" borderId="8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3" fillId="0" borderId="0" xfId="0" applyFont="1"/>
    <xf numFmtId="0" fontId="0" fillId="0" borderId="0" xfId="0" applyFont="1" applyAlignment="1"/>
    <xf numFmtId="1" fontId="9" fillId="8" borderId="14" xfId="0" applyNumberFormat="1" applyFont="1" applyFill="1" applyBorder="1"/>
    <xf numFmtId="0" fontId="2" fillId="0" borderId="14" xfId="0" applyFont="1" applyBorder="1"/>
    <xf numFmtId="0" fontId="13" fillId="0" borderId="14" xfId="0" applyFont="1" applyBorder="1"/>
    <xf numFmtId="0" fontId="2" fillId="0" borderId="10" xfId="0" applyFont="1" applyBorder="1"/>
    <xf numFmtId="0" fontId="9" fillId="2" borderId="14" xfId="0" applyFont="1" applyFill="1" applyBorder="1" applyAlignment="1">
      <alignment wrapText="1"/>
    </xf>
    <xf numFmtId="1" fontId="12" fillId="0" borderId="12" xfId="0" applyNumberFormat="1" applyFont="1" applyFill="1" applyBorder="1" applyAlignment="1">
      <alignment horizontal="right" vertical="top"/>
    </xf>
    <xf numFmtId="1" fontId="12" fillId="0" borderId="11" xfId="0" applyNumberFormat="1" applyFont="1" applyFill="1" applyBorder="1" applyAlignment="1">
      <alignment horizontal="right" vertical="top"/>
    </xf>
    <xf numFmtId="1" fontId="12" fillId="11" borderId="12" xfId="0" applyNumberFormat="1" applyFont="1" applyFill="1" applyBorder="1" applyAlignment="1">
      <alignment horizontal="right" vertical="top"/>
    </xf>
    <xf numFmtId="1" fontId="12" fillId="0" borderId="15" xfId="0" applyNumberFormat="1" applyFont="1" applyFill="1" applyBorder="1" applyAlignment="1">
      <alignment horizontal="left" vertical="top"/>
    </xf>
    <xf numFmtId="1" fontId="12" fillId="0" borderId="15" xfId="0" applyNumberFormat="1" applyFont="1" applyFill="1" applyBorder="1" applyAlignment="1">
      <alignment horizontal="left" vertical="top" wrapText="1"/>
    </xf>
    <xf numFmtId="0" fontId="5" fillId="0" borderId="17" xfId="0" applyFont="1" applyBorder="1"/>
    <xf numFmtId="0" fontId="5" fillId="0" borderId="16" xfId="0" applyFont="1" applyBorder="1"/>
    <xf numFmtId="0" fontId="11" fillId="0" borderId="16" xfId="0" applyFont="1" applyBorder="1"/>
    <xf numFmtId="0" fontId="11" fillId="2" borderId="16" xfId="0" applyFont="1" applyFill="1" applyBorder="1"/>
    <xf numFmtId="0" fontId="11" fillId="4" borderId="16" xfId="0" applyFont="1" applyFill="1" applyBorder="1" applyAlignment="1">
      <alignment horizontal="center" wrapText="1"/>
    </xf>
    <xf numFmtId="0" fontId="2" fillId="0" borderId="16" xfId="0" applyFont="1" applyBorder="1"/>
    <xf numFmtId="1" fontId="5" fillId="0" borderId="16" xfId="0" applyNumberFormat="1" applyFont="1" applyBorder="1" applyAlignment="1">
      <alignment horizontal="right"/>
    </xf>
    <xf numFmtId="0" fontId="0" fillId="0" borderId="16" xfId="0" applyFont="1" applyBorder="1" applyAlignment="1"/>
    <xf numFmtId="2" fontId="2" fillId="0" borderId="16" xfId="0" applyNumberFormat="1" applyFont="1" applyBorder="1" applyAlignment="1">
      <alignment horizontal="right"/>
    </xf>
    <xf numFmtId="1" fontId="12" fillId="0" borderId="17" xfId="0" applyNumberFormat="1" applyFont="1" applyFill="1" applyBorder="1" applyAlignment="1">
      <alignment horizontal="left" vertical="top"/>
    </xf>
    <xf numFmtId="1" fontId="12" fillId="0" borderId="18" xfId="0" applyNumberFormat="1" applyFont="1" applyFill="1" applyBorder="1" applyAlignment="1">
      <alignment horizontal="right" vertical="top"/>
    </xf>
    <xf numFmtId="1" fontId="12" fillId="6" borderId="18" xfId="0" applyNumberFormat="1" applyFont="1" applyFill="1" applyBorder="1" applyAlignment="1">
      <alignment horizontal="right" vertical="top"/>
    </xf>
    <xf numFmtId="1" fontId="12" fillId="0" borderId="18" xfId="0" applyNumberFormat="1" applyFont="1" applyBorder="1" applyAlignment="1">
      <alignment horizontal="right" vertical="top"/>
    </xf>
    <xf numFmtId="0" fontId="9" fillId="2" borderId="16" xfId="0" applyFont="1" applyFill="1" applyBorder="1" applyAlignment="1">
      <alignment horizontal="right"/>
    </xf>
    <xf numFmtId="1" fontId="2" fillId="0" borderId="16" xfId="0" applyNumberFormat="1" applyFont="1" applyBorder="1" applyAlignment="1">
      <alignment horizontal="right"/>
    </xf>
    <xf numFmtId="0" fontId="0" fillId="0" borderId="0" xfId="0" applyFont="1" applyAlignment="1"/>
    <xf numFmtId="0" fontId="3" fillId="0" borderId="0" xfId="0" applyFont="1"/>
    <xf numFmtId="0" fontId="0" fillId="0" borderId="0" xfId="0" applyFont="1" applyAlignment="1"/>
    <xf numFmtId="0" fontId="9" fillId="2" borderId="16" xfId="0" applyFont="1" applyFill="1" applyBorder="1" applyAlignment="1">
      <alignment vertical="top"/>
    </xf>
    <xf numFmtId="0" fontId="10" fillId="0" borderId="16" xfId="0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10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2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comments13.xml.rels><?xml version="1.0" encoding="UTF-8" standalone="yes"?>
<Relationships xmlns="http://schemas.openxmlformats.org/package/2006/relationships"><Relationship Id="rId1" Type="http://customschemas.google.com/relationships/workbookmetadata" Target="commentsmeta11"/></Relationships>
</file>

<file path=xl/_rels/comments14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rgbClr val="000000"/>
                </a:solidFill>
                <a:latin typeface="Arial"/>
              </a:defRPr>
            </a:pPr>
            <a:r>
              <a:rPr lang="fi-FI" sz="1800" b="1" i="0">
                <a:solidFill>
                  <a:srgbClr val="000000"/>
                </a:solidFill>
                <a:latin typeface="Arial"/>
              </a:rPr>
              <a:t>janti rivitaloassunnon sähkönkulutus 2026
4H+k+s 96m2 Hyvinkäällä</a:t>
            </a:r>
          </a:p>
        </c:rich>
      </c:tx>
      <c:layout>
        <c:manualLayout>
          <c:xMode val="edge"/>
          <c:yMode val="edge"/>
          <c:x val="0.33325170651075903"/>
          <c:y val="3.182473335255119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60390920331051E-2"/>
          <c:y val="0.14627268537997637"/>
          <c:w val="0.87881730035436034"/>
          <c:h val="0.75968231451984536"/>
        </c:manualLayout>
      </c:layout>
      <c:barChart>
        <c:barDir val="col"/>
        <c:grouping val="clustered"/>
        <c:varyColors val="1"/>
        <c:ser>
          <c:idx val="0"/>
          <c:order val="0"/>
          <c:tx>
            <c:v>Sähkö yhteensä</c:v>
          </c:tx>
          <c:spPr>
            <a:solidFill>
              <a:srgbClr val="FF000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'2026'!$D$11:$O$11</c:f>
              <c:numCache>
                <c:formatCode>#,##0</c:formatCode>
                <c:ptCount val="12"/>
                <c:pt idx="0">
                  <c:v>1237.79</c:v>
                </c:pt>
                <c:pt idx="1">
                  <c:v>1170.58</c:v>
                </c:pt>
                <c:pt idx="2">
                  <c:v>604.62000000000012</c:v>
                </c:pt>
                <c:pt idx="3">
                  <c:v>544</c:v>
                </c:pt>
                <c:pt idx="4">
                  <c:v>381.15000000000003</c:v>
                </c:pt>
                <c:pt idx="5">
                  <c:v>356.5</c:v>
                </c:pt>
                <c:pt idx="6">
                  <c:v>349.99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14E-4CA9-9AAF-ED86F8C698DA}"/>
            </c:ext>
          </c:extLst>
        </c:ser>
        <c:ser>
          <c:idx val="1"/>
          <c:order val="1"/>
          <c:tx>
            <c:v>Sähkö päivä</c:v>
          </c:tx>
          <c:spPr>
            <a:solidFill>
              <a:srgbClr val="0000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'2026'!$D$9:$O$9</c:f>
              <c:numCache>
                <c:formatCode>#,##0</c:formatCode>
                <c:ptCount val="12"/>
                <c:pt idx="0">
                  <c:v>751.42000000000007</c:v>
                </c:pt>
                <c:pt idx="1">
                  <c:v>692.26</c:v>
                </c:pt>
                <c:pt idx="2">
                  <c:v>367.59000000000003</c:v>
                </c:pt>
                <c:pt idx="3">
                  <c:v>394.35</c:v>
                </c:pt>
                <c:pt idx="4">
                  <c:v>277.46000000000004</c:v>
                </c:pt>
                <c:pt idx="5">
                  <c:v>237.71999999999997</c:v>
                </c:pt>
                <c:pt idx="6">
                  <c:v>208.62999999999997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14E-4CA9-9AAF-ED86F8C698DA}"/>
            </c:ext>
          </c:extLst>
        </c:ser>
        <c:ser>
          <c:idx val="2"/>
          <c:order val="2"/>
          <c:tx>
            <c:v>Sähkö yö</c:v>
          </c:tx>
          <c:spPr>
            <a:solidFill>
              <a:srgbClr val="00FF0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'2026'!$D$10:$O$10</c:f>
              <c:numCache>
                <c:formatCode>#,##0</c:formatCode>
                <c:ptCount val="12"/>
                <c:pt idx="0">
                  <c:v>486.36999999999983</c:v>
                </c:pt>
                <c:pt idx="1">
                  <c:v>478.32</c:v>
                </c:pt>
                <c:pt idx="2">
                  <c:v>237.03000000000003</c:v>
                </c:pt>
                <c:pt idx="3">
                  <c:v>149.64999999999995</c:v>
                </c:pt>
                <c:pt idx="4">
                  <c:v>103.69</c:v>
                </c:pt>
                <c:pt idx="5">
                  <c:v>118.78000000000003</c:v>
                </c:pt>
                <c:pt idx="6">
                  <c:v>141.36000000000001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714E-4CA9-9AAF-ED86F8C698DA}"/>
            </c:ext>
          </c:extLst>
        </c:ser>
        <c:ser>
          <c:idx val="3"/>
          <c:order val="3"/>
          <c:tx>
            <c:v>Ilmalämpöpumppu</c:v>
          </c:tx>
          <c:spPr>
            <a:solidFill>
              <a:srgbClr val="CCFF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'2026'!$D$12:$O$12</c:f>
              <c:numCache>
                <c:formatCode>#,##0</c:formatCode>
                <c:ptCount val="12"/>
                <c:pt idx="0">
                  <c:v>759.67000000000007</c:v>
                </c:pt>
                <c:pt idx="1">
                  <c:v>767.44000000000051</c:v>
                </c:pt>
                <c:pt idx="2">
                  <c:v>267.80999999999949</c:v>
                </c:pt>
                <c:pt idx="3">
                  <c:v>167.78000000000065</c:v>
                </c:pt>
                <c:pt idx="4">
                  <c:v>45.039999999999964</c:v>
                </c:pt>
                <c:pt idx="5">
                  <c:v>8.8800000000001091</c:v>
                </c:pt>
                <c:pt idx="6">
                  <c:v>4.9800000000000004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714E-4CA9-9AAF-ED86F8C69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2893453"/>
        <c:axId val="185327349"/>
      </c:barChart>
      <c:catAx>
        <c:axId val="13628934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fi-FI"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85327349"/>
        <c:crosses val="autoZero"/>
        <c:auto val="1"/>
        <c:lblAlgn val="ctr"/>
        <c:lblOffset val="100"/>
        <c:noMultiLvlLbl val="1"/>
      </c:catAx>
      <c:valAx>
        <c:axId val="18532734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Arial"/>
                  </a:defRPr>
                </a:pPr>
                <a:r>
                  <a:rPr lang="fi-FI" sz="1400" b="1" i="0">
                    <a:solidFill>
                      <a:srgbClr val="000000"/>
                    </a:solidFill>
                    <a:latin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1.34378156662279E-2"/>
              <c:y val="0.4046122801960220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362893453"/>
        <c:crosses val="autoZero"/>
        <c:crossBetween val="between"/>
      </c:valAx>
      <c:spPr>
        <a:solidFill>
          <a:srgbClr val="C0C0C0"/>
        </a:solidFill>
      </c:spPr>
    </c:plotArea>
    <c:legend>
      <c:legendPos val="r"/>
      <c:layout>
        <c:manualLayout>
          <c:xMode val="edge"/>
          <c:yMode val="edge"/>
          <c:x val="0.49412954845038498"/>
          <c:y val="0.25750504177470501"/>
        </c:manualLayout>
      </c:layout>
      <c:overlay val="0"/>
      <c:txPr>
        <a:bodyPr/>
        <a:lstStyle/>
        <a:p>
          <a:pPr lvl="0">
            <a:defRPr sz="1000" b="0" i="0">
              <a:solidFill>
                <a:srgbClr val="000000"/>
              </a:solidFill>
              <a:latin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000000"/>
                </a:solidFill>
                <a:latin typeface="Arial"/>
              </a:defRPr>
            </a:pPr>
            <a:r>
              <a:rPr lang="fi-FI" sz="1400" b="1" i="0">
                <a:solidFill>
                  <a:srgbClr val="000000"/>
                </a:solidFill>
                <a:latin typeface="Arial"/>
              </a:rPr>
              <a:t>Normitettu (sääkorjattu) kuukausittainen lämmityssähkön kulutus 2014-2024
(kesä-, heinä- ja elokuu normittamaton lämmittyssähkö)</a:t>
            </a:r>
          </a:p>
        </c:rich>
      </c:tx>
      <c:layout>
        <c:manualLayout>
          <c:xMode val="edge"/>
          <c:yMode val="edge"/>
          <c:x val="0.29820484782212497"/>
          <c:y val="2.0317744461848301E-2"/>
        </c:manualLayout>
      </c:layout>
      <c:overlay val="0"/>
    </c:title>
    <c:autoTitleDeleted val="0"/>
    <c:plotArea>
      <c:layout>
        <c:manualLayout>
          <c:xMode val="edge"/>
          <c:yMode val="edge"/>
          <c:x val="3.8340623291416097E-2"/>
          <c:y val="0.125576191541732"/>
          <c:w val="0.92067614361217398"/>
          <c:h val="0.80174535690311"/>
        </c:manualLayout>
      </c:layout>
      <c:barChart>
        <c:barDir val="col"/>
        <c:grouping val="clustered"/>
        <c:varyColors val="1"/>
        <c:ser>
          <c:idx val="0"/>
          <c:order val="0"/>
          <c:tx>
            <c:v>Normitettu lämmityssähkö 2014</c:v>
          </c:tx>
          <c:spPr>
            <a:solidFill>
              <a:srgbClr val="D09493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'2014'!$D$17:$O$17</c:f>
              <c:numCache>
                <c:formatCode>#,##0</c:formatCode>
                <c:ptCount val="12"/>
                <c:pt idx="0">
                  <c:v>615.31979695431471</c:v>
                </c:pt>
                <c:pt idx="1">
                  <c:v>432.62680412371134</c:v>
                </c:pt>
                <c:pt idx="2">
                  <c:v>367.72177419354836</c:v>
                </c:pt>
                <c:pt idx="3">
                  <c:v>185.76</c:v>
                </c:pt>
                <c:pt idx="4">
                  <c:v>83.515151515151516</c:v>
                </c:pt>
                <c:pt idx="5">
                  <c:v>48.8</c:v>
                </c:pt>
                <c:pt idx="6">
                  <c:v>7.7550000000000008</c:v>
                </c:pt>
                <c:pt idx="7">
                  <c:v>19</c:v>
                </c:pt>
                <c:pt idx="8">
                  <c:v>73.99693251533742</c:v>
                </c:pt>
                <c:pt idx="9">
                  <c:v>202.75590551181102</c:v>
                </c:pt>
                <c:pt idx="10">
                  <c:v>324.44924406047517</c:v>
                </c:pt>
                <c:pt idx="11">
                  <c:v>462.94067796610165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09D-41B4-94E5-E353366FC0D4}"/>
            </c:ext>
          </c:extLst>
        </c:ser>
        <c:ser>
          <c:idx val="1"/>
          <c:order val="1"/>
          <c:tx>
            <c:v>Normitettu lämmityssähkö 2015</c:v>
          </c:tx>
          <c:spPr>
            <a:solidFill>
              <a:srgbClr val="B8CD9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'2015'!$D$17:$O$17</c:f>
              <c:numCache>
                <c:formatCode>#,##0</c:formatCode>
                <c:ptCount val="12"/>
                <c:pt idx="0">
                  <c:v>570.05422647527917</c:v>
                </c:pt>
                <c:pt idx="1">
                  <c:v>425.91235059760953</c:v>
                </c:pt>
                <c:pt idx="2">
                  <c:v>359.51903807615236</c:v>
                </c:pt>
                <c:pt idx="3">
                  <c:v>244.67704918032786</c:v>
                </c:pt>
                <c:pt idx="4">
                  <c:v>97.5</c:v>
                </c:pt>
                <c:pt idx="5">
                  <c:v>44</c:v>
                </c:pt>
                <c:pt idx="6">
                  <c:v>13.190000000000055</c:v>
                </c:pt>
                <c:pt idx="7">
                  <c:v>7</c:v>
                </c:pt>
                <c:pt idx="8">
                  <c:v>111.06173913043477</c:v>
                </c:pt>
                <c:pt idx="9">
                  <c:v>194.46163366336634</c:v>
                </c:pt>
                <c:pt idx="10">
                  <c:v>304.47328244274809</c:v>
                </c:pt>
                <c:pt idx="11">
                  <c:v>394.36458333333331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09D-41B4-94E5-E353366FC0D4}"/>
            </c:ext>
          </c:extLst>
        </c:ser>
        <c:ser>
          <c:idx val="2"/>
          <c:order val="2"/>
          <c:tx>
            <c:v>Normitettu lämmityssähkö 2016</c:v>
          </c:tx>
          <c:spPr>
            <a:solidFill>
              <a:srgbClr val="A99BBD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'2016'!$D$17:$O$17</c:f>
              <c:numCache>
                <c:formatCode>#,##0</c:formatCode>
                <c:ptCount val="12"/>
                <c:pt idx="0">
                  <c:v>620.0693922651933</c:v>
                </c:pt>
                <c:pt idx="1">
                  <c:v>434.25095057034218</c:v>
                </c:pt>
                <c:pt idx="2">
                  <c:v>361.03551401869163</c:v>
                </c:pt>
                <c:pt idx="3">
                  <c:v>194.54594594594593</c:v>
                </c:pt>
                <c:pt idx="4">
                  <c:v>98.347826086956516</c:v>
                </c:pt>
                <c:pt idx="5">
                  <c:v>20.399999999999999</c:v>
                </c:pt>
                <c:pt idx="6">
                  <c:v>6.8410000000000002</c:v>
                </c:pt>
                <c:pt idx="7">
                  <c:v>28.405999999999999</c:v>
                </c:pt>
                <c:pt idx="8">
                  <c:v>84.536501538461536</c:v>
                </c:pt>
                <c:pt idx="9">
                  <c:v>194.90788834951456</c:v>
                </c:pt>
                <c:pt idx="10">
                  <c:v>373.61931189873411</c:v>
                </c:pt>
                <c:pt idx="11">
                  <c:v>443.42230238907848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709D-41B4-94E5-E353366FC0D4}"/>
            </c:ext>
          </c:extLst>
        </c:ser>
        <c:ser>
          <c:idx val="3"/>
          <c:order val="3"/>
          <c:tx>
            <c:v>Normitettu lämmityssähkö 2017</c:v>
          </c:tx>
          <c:spPr>
            <a:solidFill>
              <a:srgbClr val="92C3D5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'2017'!$D$17:$O$17</c:f>
              <c:numCache>
                <c:formatCode>#,##0</c:formatCode>
                <c:ptCount val="12"/>
                <c:pt idx="0">
                  <c:v>546.96984482225662</c:v>
                </c:pt>
                <c:pt idx="1">
                  <c:v>478.75370631229242</c:v>
                </c:pt>
                <c:pt idx="2">
                  <c:v>385.45048625954206</c:v>
                </c:pt>
                <c:pt idx="3">
                  <c:v>217.87931739130443</c:v>
                </c:pt>
                <c:pt idx="4">
                  <c:v>81.245654794520348</c:v>
                </c:pt>
                <c:pt idx="5">
                  <c:v>35.2800000000002</c:v>
                </c:pt>
                <c:pt idx="6">
                  <c:v>18.010000000000218</c:v>
                </c:pt>
                <c:pt idx="7">
                  <c:v>26.269999999999982</c:v>
                </c:pt>
                <c:pt idx="8">
                  <c:v>78.639667021276352</c:v>
                </c:pt>
                <c:pt idx="9">
                  <c:v>199.61049618320624</c:v>
                </c:pt>
                <c:pt idx="10">
                  <c:v>316.02673021276587</c:v>
                </c:pt>
                <c:pt idx="11">
                  <c:v>452.09337222222206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709D-41B4-94E5-E353366FC0D4}"/>
            </c:ext>
          </c:extLst>
        </c:ser>
        <c:ser>
          <c:idx val="4"/>
          <c:order val="4"/>
          <c:tx>
            <c:v>Normitettu lämmityssähkö 2018</c:v>
          </c:tx>
          <c:spPr>
            <a:solidFill>
              <a:srgbClr val="F8B59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'2018'!$D$17:$O$17</c:f>
              <c:numCache>
                <c:formatCode>#,##0</c:formatCode>
                <c:ptCount val="12"/>
                <c:pt idx="0">
                  <c:v>564.85206056782408</c:v>
                </c:pt>
                <c:pt idx="1">
                  <c:v>558.96650594594553</c:v>
                </c:pt>
                <c:pt idx="2">
                  <c:v>445.89095431754868</c:v>
                </c:pt>
                <c:pt idx="3">
                  <c:v>207.52936105263132</c:v>
                </c:pt>
                <c:pt idx="4">
                  <c:v>76.412960000002059</c:v>
                </c:pt>
                <c:pt idx="5">
                  <c:v>16.639999999999418</c:v>
                </c:pt>
                <c:pt idx="6">
                  <c:v>8.7100000000000364</c:v>
                </c:pt>
                <c:pt idx="7">
                  <c:v>12.150000000000546</c:v>
                </c:pt>
                <c:pt idx="8">
                  <c:v>79.057915199999215</c:v>
                </c:pt>
                <c:pt idx="9">
                  <c:v>181.43939189189211</c:v>
                </c:pt>
                <c:pt idx="10">
                  <c:v>317.48565333333397</c:v>
                </c:pt>
                <c:pt idx="11">
                  <c:v>485.57248543689309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4-709D-41B4-94E5-E353366FC0D4}"/>
            </c:ext>
          </c:extLst>
        </c:ser>
        <c:ser>
          <c:idx val="5"/>
          <c:order val="5"/>
          <c:tx>
            <c:v>Normitettu lämmityssähkö 2019</c:v>
          </c:tx>
          <c:spPr>
            <a:solidFill>
              <a:srgbClr val="FFFFFF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'2019'!$D$17:$O$17</c:f>
              <c:numCache>
                <c:formatCode>#,##0</c:formatCode>
                <c:ptCount val="12"/>
                <c:pt idx="0">
                  <c:v>607.61148923076928</c:v>
                </c:pt>
                <c:pt idx="1">
                  <c:v>503.04510817120564</c:v>
                </c:pt>
                <c:pt idx="2">
                  <c:v>382.3096119718312</c:v>
                </c:pt>
                <c:pt idx="3">
                  <c:v>221.66074043887161</c:v>
                </c:pt>
                <c:pt idx="4">
                  <c:v>116.226782608696</c:v>
                </c:pt>
                <c:pt idx="5">
                  <c:v>12.680000000000291</c:v>
                </c:pt>
                <c:pt idx="6">
                  <c:v>23.1299999999992</c:v>
                </c:pt>
                <c:pt idx="7">
                  <c:v>9.1399999999994179</c:v>
                </c:pt>
                <c:pt idx="8">
                  <c:v>101.7809833333345</c:v>
                </c:pt>
                <c:pt idx="9">
                  <c:v>177.61358668341583</c:v>
                </c:pt>
                <c:pt idx="10">
                  <c:v>349.48415508196717</c:v>
                </c:pt>
                <c:pt idx="11">
                  <c:v>422.72871173076919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5-709D-41B4-94E5-E353366FC0D4}"/>
            </c:ext>
          </c:extLst>
        </c:ser>
        <c:ser>
          <c:idx val="6"/>
          <c:order val="6"/>
          <c:tx>
            <c:v>Normitettu lämmityssähkö 2020</c:v>
          </c:tx>
          <c:spPr>
            <a:solidFill>
              <a:srgbClr val="7030A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'2020'!$D$17:$O$17</c:f>
              <c:numCache>
                <c:formatCode>#,##0</c:formatCode>
                <c:ptCount val="12"/>
                <c:pt idx="0">
                  <c:v>456.7843265306123</c:v>
                </c:pt>
                <c:pt idx="1">
                  <c:v>450.69498997995998</c:v>
                </c:pt>
                <c:pt idx="2">
                  <c:v>388.7615226337449</c:v>
                </c:pt>
                <c:pt idx="3">
                  <c:v>187.19043037974677</c:v>
                </c:pt>
                <c:pt idx="4">
                  <c:v>92.368000000000038</c:v>
                </c:pt>
                <c:pt idx="5">
                  <c:v>12.630000000000109</c:v>
                </c:pt>
                <c:pt idx="6">
                  <c:v>4.4600000000000364</c:v>
                </c:pt>
                <c:pt idx="7">
                  <c:v>6.2799999999997453</c:v>
                </c:pt>
                <c:pt idx="8">
                  <c:v>98.771808510638479</c:v>
                </c:pt>
                <c:pt idx="9">
                  <c:v>190.18817204301075</c:v>
                </c:pt>
                <c:pt idx="10">
                  <c:v>290.27770992366413</c:v>
                </c:pt>
                <c:pt idx="11">
                  <c:v>417.70105769230781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6-709D-41B4-94E5-E353366FC0D4}"/>
            </c:ext>
          </c:extLst>
        </c:ser>
        <c:ser>
          <c:idx val="7"/>
          <c:order val="7"/>
          <c:tx>
            <c:v>Normitettu lämmityssähkö 2021</c:v>
          </c:tx>
          <c:spPr>
            <a:solidFill>
              <a:srgbClr val="00B0F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'2021'!$D$17:$O$17</c:f>
              <c:numCache>
                <c:formatCode>#,##0</c:formatCode>
                <c:ptCount val="12"/>
                <c:pt idx="0">
                  <c:v>599.31734904270991</c:v>
                </c:pt>
                <c:pt idx="1">
                  <c:v>589.29999999999995</c:v>
                </c:pt>
                <c:pt idx="2">
                  <c:v>400.02607773851577</c:v>
                </c:pt>
                <c:pt idx="3">
                  <c:v>195.33799472295536</c:v>
                </c:pt>
                <c:pt idx="4">
                  <c:v>84.536202531645472</c:v>
                </c:pt>
                <c:pt idx="5">
                  <c:v>1.7799999999997453</c:v>
                </c:pt>
                <c:pt idx="6">
                  <c:v>1.6129999999999995</c:v>
                </c:pt>
                <c:pt idx="7">
                  <c:v>37.810999999999993</c:v>
                </c:pt>
                <c:pt idx="8">
                  <c:v>90.720995515695066</c:v>
                </c:pt>
                <c:pt idx="9">
                  <c:v>184.22853535353534</c:v>
                </c:pt>
                <c:pt idx="10">
                  <c:v>336.34455230125519</c:v>
                </c:pt>
                <c:pt idx="11">
                  <c:v>574.72368841544619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7-709D-41B4-94E5-E353366FC0D4}"/>
            </c:ext>
          </c:extLst>
        </c:ser>
        <c:ser>
          <c:idx val="8"/>
          <c:order val="8"/>
          <c:tx>
            <c:v>Normitettu lämmityssähkö 2022</c:v>
          </c:tx>
          <c:spPr>
            <a:solidFill>
              <a:srgbClr val="00B05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'2022'!$D$17:$O$17</c:f>
              <c:numCache>
                <c:formatCode>#,##0</c:formatCode>
                <c:ptCount val="12"/>
                <c:pt idx="0">
                  <c:v>583.96001676646699</c:v>
                </c:pt>
                <c:pt idx="1">
                  <c:v>528.08419784946261</c:v>
                </c:pt>
                <c:pt idx="2">
                  <c:v>398.22151313868608</c:v>
                </c:pt>
                <c:pt idx="3">
                  <c:v>213.41037599999999</c:v>
                </c:pt>
                <c:pt idx="4">
                  <c:v>83.995470000000026</c:v>
                </c:pt>
                <c:pt idx="5">
                  <c:v>10.110000000000127</c:v>
                </c:pt>
                <c:pt idx="6">
                  <c:v>5.1399999999998727</c:v>
                </c:pt>
                <c:pt idx="7">
                  <c:v>2.84</c:v>
                </c:pt>
                <c:pt idx="8">
                  <c:v>71.453881052631587</c:v>
                </c:pt>
                <c:pt idx="9">
                  <c:v>165.54623831775703</c:v>
                </c:pt>
                <c:pt idx="10">
                  <c:v>291.01169463829797</c:v>
                </c:pt>
                <c:pt idx="11">
                  <c:v>449.68033486238528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8-709D-41B4-94E5-E353366FC0D4}"/>
            </c:ext>
          </c:extLst>
        </c:ser>
        <c:ser>
          <c:idx val="9"/>
          <c:order val="9"/>
          <c:tx>
            <c:v>Normitettu lämmityssähkö 2023</c:v>
          </c:tx>
          <c:spPr>
            <a:solidFill>
              <a:srgbClr val="ED7D31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'2023'!$D$17:$O$17</c:f>
              <c:numCache>
                <c:formatCode>#,##0</c:formatCode>
                <c:ptCount val="12"/>
                <c:pt idx="0">
                  <c:v>489.21923898305079</c:v>
                </c:pt>
                <c:pt idx="1">
                  <c:v>435.26082616487452</c:v>
                </c:pt>
                <c:pt idx="2">
                  <c:v>361.65847651006709</c:v>
                </c:pt>
                <c:pt idx="3">
                  <c:v>179.18794478527619</c:v>
                </c:pt>
                <c:pt idx="4">
                  <c:v>85.747704918032866</c:v>
                </c:pt>
                <c:pt idx="5">
                  <c:v>13.730000000000018</c:v>
                </c:pt>
                <c:pt idx="6">
                  <c:v>7.3900000000001</c:v>
                </c:pt>
                <c:pt idx="7">
                  <c:v>8.4299999999998825</c:v>
                </c:pt>
                <c:pt idx="8">
                  <c:v>248.5454400000005</c:v>
                </c:pt>
                <c:pt idx="9">
                  <c:v>209.81698973871741</c:v>
                </c:pt>
                <c:pt idx="10">
                  <c:v>348.04646945848373</c:v>
                </c:pt>
                <c:pt idx="11">
                  <c:v>526.87338276536309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9-709D-41B4-94E5-E353366FC0D4}"/>
            </c:ext>
          </c:extLst>
        </c:ser>
        <c:ser>
          <c:idx val="10"/>
          <c:order val="10"/>
          <c:tx>
            <c:v>Normitettu lämmityssähkö 2024</c:v>
          </c:tx>
          <c:spPr>
            <a:solidFill>
              <a:srgbClr val="BDD7EE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'2024'!$D$17:$O$17</c:f>
              <c:numCache>
                <c:formatCode>#,##0</c:formatCode>
                <c:ptCount val="12"/>
                <c:pt idx="0">
                  <c:v>709.7760104096385</c:v>
                </c:pt>
                <c:pt idx="1">
                  <c:v>534.59520564263312</c:v>
                </c:pt>
                <c:pt idx="2">
                  <c:v>392.30426313799614</c:v>
                </c:pt>
                <c:pt idx="3">
                  <c:v>223.2848819277111</c:v>
                </c:pt>
                <c:pt idx="4">
                  <c:v>67.459948387096873</c:v>
                </c:pt>
                <c:pt idx="5">
                  <c:v>6.7800000000002001</c:v>
                </c:pt>
                <c:pt idx="6">
                  <c:v>0</c:v>
                </c:pt>
                <c:pt idx="7">
                  <c:v>5.4200000000000728</c:v>
                </c:pt>
                <c:pt idx="8">
                  <c:v>117.75294915254294</c:v>
                </c:pt>
                <c:pt idx="9">
                  <c:v>178.4872662420384</c:v>
                </c:pt>
                <c:pt idx="10">
                  <c:v>295.79087841409665</c:v>
                </c:pt>
                <c:pt idx="11">
                  <c:v>432.91190542907208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A-709D-41B4-94E5-E353366FC0D4}"/>
            </c:ext>
          </c:extLst>
        </c:ser>
        <c:ser>
          <c:idx val="11"/>
          <c:order val="11"/>
          <c:tx>
            <c:v>Normitettu lämmityssähkö 2025</c:v>
          </c:tx>
          <c:spPr>
            <a:solidFill>
              <a:srgbClr val="C2DEAF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'2025'!$D$17:$O$17</c:f>
              <c:numCache>
                <c:formatCode>#,##0</c:formatCode>
                <c:ptCount val="12"/>
                <c:pt idx="0">
                  <c:v>473.61960596026472</c:v>
                </c:pt>
                <c:pt idx="1">
                  <c:v>427.09100586206887</c:v>
                </c:pt>
                <c:pt idx="2">
                  <c:v>340.22635499999996</c:v>
                </c:pt>
                <c:pt idx="3">
                  <c:v>190.40542752293629</c:v>
                </c:pt>
                <c:pt idx="4">
                  <c:v>82.803599999999534</c:v>
                </c:pt>
                <c:pt idx="5">
                  <c:v>29.510000000000218</c:v>
                </c:pt>
                <c:pt idx="6">
                  <c:v>5.1600000000005082</c:v>
                </c:pt>
                <c:pt idx="7">
                  <c:v>21.139999999999819</c:v>
                </c:pt>
                <c:pt idx="8">
                  <c:v>132.41603571428601</c:v>
                </c:pt>
                <c:pt idx="9">
                  <c:v>195.98109999999954</c:v>
                </c:pt>
                <c:pt idx="10">
                  <c:v>321.53916252927456</c:v>
                </c:pt>
                <c:pt idx="11">
                  <c:v>370.69602485206997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B-709D-41B4-94E5-E353366FC0D4}"/>
            </c:ext>
          </c:extLst>
        </c:ser>
        <c:ser>
          <c:idx val="12"/>
          <c:order val="12"/>
          <c:tx>
            <c:v>Normitettu lämmityssähkö 2026</c:v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'2026'!$D$17:$O$17</c:f>
              <c:numCache>
                <c:formatCode>#,##0</c:formatCode>
                <c:ptCount val="12"/>
                <c:pt idx="0">
                  <c:v>646.96426048192768</c:v>
                </c:pt>
                <c:pt idx="1">
                  <c:v>638.3811969465653</c:v>
                </c:pt>
                <c:pt idx="2">
                  <c:v>370.95086743648886</c:v>
                </c:pt>
                <c:pt idx="3">
                  <c:v>182.19211348314678</c:v>
                </c:pt>
                <c:pt idx="4">
                  <c:v>107.19519999999991</c:v>
                </c:pt>
                <c:pt idx="5">
                  <c:v>8.8800000000001091</c:v>
                </c:pt>
                <c:pt idx="6">
                  <c:v>4.9800000000000004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46-4A88-80A2-9932DA096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062314"/>
        <c:axId val="179335350"/>
      </c:barChart>
      <c:catAx>
        <c:axId val="320623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fi-FI"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 lvl="0">
              <a:defRPr sz="11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79335350"/>
        <c:crosses val="autoZero"/>
        <c:auto val="1"/>
        <c:lblAlgn val="ctr"/>
        <c:lblOffset val="100"/>
        <c:noMultiLvlLbl val="1"/>
      </c:catAx>
      <c:valAx>
        <c:axId val="17933535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200" b="1" i="0">
                    <a:solidFill>
                      <a:srgbClr val="000000"/>
                    </a:solidFill>
                    <a:latin typeface="Arial"/>
                  </a:defRPr>
                </a:pPr>
                <a:r>
                  <a:rPr lang="fi-FI" sz="1200" b="1" i="0">
                    <a:solidFill>
                      <a:srgbClr val="000000"/>
                    </a:solidFill>
                    <a:latin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3.55385456533625E-3"/>
              <c:y val="0.4284179906019239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11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32062314"/>
        <c:crosses val="autoZero"/>
        <c:crossBetween val="between"/>
      </c:valAx>
      <c:spPr>
        <a:solidFill>
          <a:srgbClr val="C0C0C0"/>
        </a:solidFill>
      </c:spPr>
    </c:plotArea>
    <c:legend>
      <c:legendPos val="r"/>
      <c:layout>
        <c:manualLayout>
          <c:xMode val="edge"/>
          <c:yMode val="edge"/>
          <c:x val="0.35209531635168401"/>
          <c:y val="0.14283797083296099"/>
          <c:w val="0.29611563276968395"/>
          <c:h val="0.4210838277916682"/>
        </c:manualLayout>
      </c:layout>
      <c:overlay val="0"/>
      <c:txPr>
        <a:bodyPr/>
        <a:lstStyle/>
        <a:p>
          <a:pPr lvl="0">
            <a:defRPr sz="1200" b="0" i="0">
              <a:solidFill>
                <a:srgbClr val="000000"/>
              </a:solidFill>
              <a:latin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19050</xdr:rowOff>
    </xdr:from>
    <xdr:ext cx="12677775" cy="6238875"/>
    <xdr:graphicFrame macro="">
      <xdr:nvGraphicFramePr>
        <xdr:cNvPr id="750408170" name="Chart 1">
          <a:extLst>
            <a:ext uri="{FF2B5EF4-FFF2-40B4-BE49-F238E27FC236}">
              <a16:creationId xmlns:a16="http://schemas.microsoft.com/office/drawing/2014/main" id="{00000000-0008-0000-0100-0000EA51BA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983075" cy="8039100"/>
    <xdr:graphicFrame macro="">
      <xdr:nvGraphicFramePr>
        <xdr:cNvPr id="1601117102" name="Chart 2">
          <a:extLst>
            <a:ext uri="{FF2B5EF4-FFF2-40B4-BE49-F238E27FC236}">
              <a16:creationId xmlns:a16="http://schemas.microsoft.com/office/drawing/2014/main" id="{00000000-0008-0000-0200-0000AE1B6F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hlv.fi/tietopankk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hyperlink" Target="http://suja.kapsi.fi/asema-taulukko.php?asema=101130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hyperlink" Target="http://suja.kapsi.fi/asema-taulukko.php?asema=10113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hyperlink" Target="http://suja.kapsi.fi/asema-taulukko.php?asema=101130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hyperlink" Target="http://www.saapalvelu.fi/kytaja/kuukausitilastot.php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0"/>
  <sheetViews>
    <sheetView tabSelected="1" workbookViewId="0">
      <selection activeCell="J16" sqref="J16"/>
    </sheetView>
  </sheetViews>
  <sheetFormatPr defaultColWidth="12.6640625" defaultRowHeight="15" customHeight="1" x14ac:dyDescent="0.25"/>
  <cols>
    <col min="1" max="1" width="8.44140625" style="98" customWidth="1"/>
    <col min="2" max="2" width="21.44140625" style="98" customWidth="1"/>
    <col min="3" max="4" width="9.44140625" style="98" customWidth="1"/>
    <col min="5" max="9" width="8.109375" style="98" customWidth="1"/>
    <col min="10" max="15" width="8.44140625" style="98" customWidth="1"/>
    <col min="16" max="16" width="9.44140625" style="98" customWidth="1"/>
    <col min="17" max="17" width="5" style="98" customWidth="1"/>
    <col min="18" max="18" width="6.44140625" style="98" customWidth="1"/>
    <col min="19" max="19" width="2.44140625" style="98" customWidth="1"/>
    <col min="20" max="20" width="9.44140625" style="98" customWidth="1"/>
    <col min="21" max="27" width="8.44140625" style="98" customWidth="1"/>
    <col min="28" max="16384" width="12.6640625" style="98"/>
  </cols>
  <sheetData>
    <row r="1" spans="1:27" ht="18.75" customHeight="1" x14ac:dyDescent="0.3">
      <c r="A1" s="1" t="s">
        <v>0</v>
      </c>
      <c r="B1" s="2"/>
      <c r="C1" s="2"/>
      <c r="D1" s="3">
        <v>2026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2"/>
      <c r="R1" s="97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57"/>
      <c r="F3" s="57">
        <v>96</v>
      </c>
      <c r="G3" s="8" t="s">
        <v>5</v>
      </c>
      <c r="H3" s="8" t="s">
        <v>6</v>
      </c>
      <c r="I3" s="57"/>
      <c r="J3" s="57"/>
      <c r="K3" s="57">
        <v>10</v>
      </c>
      <c r="L3" s="8" t="s">
        <v>7</v>
      </c>
      <c r="M3" s="8" t="s">
        <v>8</v>
      </c>
      <c r="N3" s="57"/>
      <c r="O3" s="9">
        <f>(SUM(I11:K11))/92</f>
        <v>7.6792391304347829</v>
      </c>
      <c r="P3" s="57" t="s">
        <v>7</v>
      </c>
      <c r="Q3" s="2"/>
      <c r="R3" s="97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57"/>
      <c r="F4" s="10">
        <f>2.52*F3</f>
        <v>241.92000000000002</v>
      </c>
      <c r="G4" s="8" t="s">
        <v>11</v>
      </c>
      <c r="H4" s="8"/>
      <c r="I4" s="57"/>
      <c r="J4" s="57"/>
      <c r="K4" s="8"/>
      <c r="L4" s="8"/>
      <c r="M4" s="8"/>
      <c r="N4" s="57"/>
      <c r="O4" s="57"/>
      <c r="P4" s="57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2025</v>
      </c>
      <c r="B8" s="25" t="s">
        <v>27</v>
      </c>
      <c r="C8" s="26" t="s">
        <v>28</v>
      </c>
      <c r="D8" s="27">
        <v>-10.199999999999999</v>
      </c>
      <c r="E8" s="27">
        <v>-11.2</v>
      </c>
      <c r="F8" s="27">
        <v>2.8</v>
      </c>
      <c r="G8" s="27">
        <v>4.5999999999999996</v>
      </c>
      <c r="H8" s="27">
        <v>11.6</v>
      </c>
      <c r="I8" s="27">
        <v>16.2</v>
      </c>
      <c r="J8" s="27">
        <v>16.7</v>
      </c>
      <c r="K8" s="27"/>
      <c r="L8" s="27"/>
      <c r="M8" s="27"/>
      <c r="N8" s="27"/>
      <c r="O8" s="28"/>
      <c r="P8" s="27">
        <f>AVERAGE(D8:O8)</f>
        <v>4.3571428571428568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2025</v>
      </c>
      <c r="B9" s="25" t="s">
        <v>29</v>
      </c>
      <c r="C9" s="30" t="s">
        <v>30</v>
      </c>
      <c r="D9" s="44">
        <v>751.42000000000007</v>
      </c>
      <c r="E9" s="44">
        <v>692.26</v>
      </c>
      <c r="F9" s="44">
        <v>367.59000000000003</v>
      </c>
      <c r="G9" s="44">
        <v>394.35</v>
      </c>
      <c r="H9" s="44">
        <v>277.46000000000004</v>
      </c>
      <c r="I9" s="44">
        <v>237.71999999999997</v>
      </c>
      <c r="J9" s="44">
        <v>208.62999999999997</v>
      </c>
      <c r="K9" s="44"/>
      <c r="L9" s="44"/>
      <c r="M9" s="44"/>
      <c r="N9" s="44"/>
      <c r="O9" s="32"/>
      <c r="P9" s="44">
        <f t="shared" ref="P9:P13" si="0">SUM(D9:O9)</f>
        <v>2929.43</v>
      </c>
      <c r="Q9" s="2"/>
      <c r="R9" s="33">
        <f t="shared" ref="R9:R12" si="1">P9/$P$11</f>
        <v>0.63071331839134659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2025</v>
      </c>
      <c r="B10" s="25" t="s">
        <v>31</v>
      </c>
      <c r="C10" s="30" t="s">
        <v>30</v>
      </c>
      <c r="D10" s="44">
        <v>486.36999999999983</v>
      </c>
      <c r="E10" s="44">
        <v>478.32</v>
      </c>
      <c r="F10" s="44">
        <v>237.03000000000003</v>
      </c>
      <c r="G10" s="44">
        <v>149.64999999999995</v>
      </c>
      <c r="H10" s="44">
        <v>103.69</v>
      </c>
      <c r="I10" s="44">
        <v>118.78000000000003</v>
      </c>
      <c r="J10" s="44">
        <v>141.36000000000001</v>
      </c>
      <c r="K10" s="44"/>
      <c r="L10" s="44"/>
      <c r="M10" s="44"/>
      <c r="N10" s="32"/>
      <c r="O10" s="37"/>
      <c r="P10" s="38">
        <f t="shared" si="0"/>
        <v>1715.1999999999998</v>
      </c>
      <c r="Q10" s="39"/>
      <c r="R10" s="33">
        <f t="shared" si="1"/>
        <v>0.36928668160865347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96">
        <v>2025</v>
      </c>
      <c r="B11" s="13" t="s">
        <v>32</v>
      </c>
      <c r="C11" s="14" t="s">
        <v>30</v>
      </c>
      <c r="D11" s="40">
        <f t="shared" ref="D11:O11" si="2">SUM(D9:D10)</f>
        <v>1237.79</v>
      </c>
      <c r="E11" s="40">
        <f t="shared" si="2"/>
        <v>1170.58</v>
      </c>
      <c r="F11" s="40">
        <f t="shared" si="2"/>
        <v>604.62000000000012</v>
      </c>
      <c r="G11" s="40">
        <f t="shared" si="2"/>
        <v>544</v>
      </c>
      <c r="H11" s="40">
        <f t="shared" si="2"/>
        <v>381.15000000000003</v>
      </c>
      <c r="I11" s="40">
        <f t="shared" si="2"/>
        <v>356.5</v>
      </c>
      <c r="J11" s="40">
        <f t="shared" si="2"/>
        <v>349.99</v>
      </c>
      <c r="K11" s="40">
        <f t="shared" si="2"/>
        <v>0</v>
      </c>
      <c r="L11" s="40">
        <f t="shared" si="2"/>
        <v>0</v>
      </c>
      <c r="M11" s="40">
        <f t="shared" si="2"/>
        <v>0</v>
      </c>
      <c r="N11" s="40">
        <f t="shared" si="2"/>
        <v>0</v>
      </c>
      <c r="O11" s="40">
        <f t="shared" si="2"/>
        <v>0</v>
      </c>
      <c r="P11" s="40">
        <f t="shared" si="0"/>
        <v>4644.6299999999992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2025</v>
      </c>
      <c r="B12" s="25" t="s">
        <v>33</v>
      </c>
      <c r="C12" s="30" t="s">
        <v>30</v>
      </c>
      <c r="D12" s="44">
        <f>(6701.86-5942.19)</f>
        <v>759.67000000000007</v>
      </c>
      <c r="E12" s="44">
        <f>(7469.3-6701.86)</f>
        <v>767.44000000000051</v>
      </c>
      <c r="F12" s="44">
        <f>(7737.11-7469.3)</f>
        <v>267.80999999999949</v>
      </c>
      <c r="G12" s="44">
        <f>(7904.89-7737.11)</f>
        <v>167.78000000000065</v>
      </c>
      <c r="H12" s="44">
        <f>(7949.93-7904.89)</f>
        <v>45.039999999999964</v>
      </c>
      <c r="I12" s="44">
        <f>(7958.81-7949.93)</f>
        <v>8.8800000000001091</v>
      </c>
      <c r="J12" s="44">
        <f>15.83-1.68-9.17</f>
        <v>4.9800000000000004</v>
      </c>
      <c r="K12" s="44"/>
      <c r="L12" s="44"/>
      <c r="M12" s="44"/>
      <c r="N12" s="44"/>
      <c r="O12" s="44"/>
      <c r="P12" s="40">
        <f t="shared" si="0"/>
        <v>2021.6000000000008</v>
      </c>
      <c r="Q12" s="39"/>
      <c r="R12" s="33">
        <f t="shared" si="1"/>
        <v>0.4352553378848264</v>
      </c>
      <c r="S12" s="34"/>
      <c r="T12" s="29"/>
      <c r="U12" s="11"/>
      <c r="V12" s="2"/>
      <c r="W12" s="39" t="s">
        <v>34</v>
      </c>
      <c r="X12" s="11">
        <f>P12+'2025'!X12</f>
        <v>40263.887478991601</v>
      </c>
      <c r="Y12" s="2" t="s">
        <v>30</v>
      </c>
      <c r="Z12" s="11">
        <f>X12*1000/400</f>
        <v>100659.71869747899</v>
      </c>
      <c r="AA12" s="2" t="s">
        <v>35</v>
      </c>
    </row>
    <row r="13" spans="1:27" ht="12.75" customHeight="1" x14ac:dyDescent="0.25">
      <c r="A13" s="24">
        <v>2025</v>
      </c>
      <c r="B13" s="41" t="s">
        <v>36</v>
      </c>
      <c r="C13" s="26" t="s">
        <v>37</v>
      </c>
      <c r="D13" s="44">
        <f>830/1.02</f>
        <v>813.72549019607845</v>
      </c>
      <c r="E13" s="44">
        <f>786/1.02</f>
        <v>770.58823529411768</v>
      </c>
      <c r="F13" s="44">
        <f>433/1.02</f>
        <v>424.50980392156862</v>
      </c>
      <c r="G13" s="44">
        <f>356/1.02</f>
        <v>349.01960784313724</v>
      </c>
      <c r="H13" s="44">
        <f>66/1.02</f>
        <v>64.705882352941174</v>
      </c>
      <c r="I13" s="44">
        <v>0</v>
      </c>
      <c r="J13" s="44">
        <v>0</v>
      </c>
      <c r="K13" s="44"/>
      <c r="L13" s="44"/>
      <c r="M13" s="44"/>
      <c r="N13" s="44"/>
      <c r="O13" s="42"/>
      <c r="P13" s="44">
        <f t="shared" si="0"/>
        <v>2422.5490196078431</v>
      </c>
      <c r="Q13" s="36"/>
      <c r="R13" s="33">
        <f>(P14-P13)/P14</f>
        <v>0.41695571128571768</v>
      </c>
      <c r="S13" s="2"/>
      <c r="T13" s="29"/>
      <c r="U13" s="29"/>
      <c r="V13" s="2"/>
      <c r="W13" s="36" t="s">
        <v>38</v>
      </c>
      <c r="X13" s="11">
        <f>X12*2.7-X12</f>
        <v>68448.608714285729</v>
      </c>
      <c r="Y13" s="2" t="s">
        <v>30</v>
      </c>
      <c r="Z13" s="2"/>
      <c r="AA13" s="2"/>
    </row>
    <row r="14" spans="1:27" ht="12.75" customHeight="1" x14ac:dyDescent="0.25">
      <c r="A14" s="24">
        <v>2025</v>
      </c>
      <c r="B14" s="41" t="s">
        <v>39</v>
      </c>
      <c r="C14" s="26" t="s">
        <v>37</v>
      </c>
      <c r="D14" s="44">
        <v>693</v>
      </c>
      <c r="E14" s="44">
        <v>641</v>
      </c>
      <c r="F14" s="44">
        <v>588</v>
      </c>
      <c r="G14" s="44">
        <v>379</v>
      </c>
      <c r="H14" s="44">
        <v>154</v>
      </c>
      <c r="I14" s="44">
        <v>19</v>
      </c>
      <c r="J14" s="44">
        <v>4</v>
      </c>
      <c r="K14" s="44">
        <v>21</v>
      </c>
      <c r="L14" s="44">
        <v>165</v>
      </c>
      <c r="M14" s="44">
        <v>378</v>
      </c>
      <c r="N14" s="44">
        <v>494</v>
      </c>
      <c r="O14" s="42">
        <v>619</v>
      </c>
      <c r="P14" s="44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2025</v>
      </c>
      <c r="B15" s="25" t="s">
        <v>41</v>
      </c>
      <c r="C15" s="30" t="s">
        <v>30</v>
      </c>
      <c r="D15" s="44">
        <v>158</v>
      </c>
      <c r="E15" s="44">
        <v>137.5</v>
      </c>
      <c r="F15" s="44">
        <v>132.5</v>
      </c>
      <c r="G15" s="44">
        <v>148.5</v>
      </c>
      <c r="H15" s="44">
        <v>156</v>
      </c>
      <c r="I15" s="44">
        <v>135</v>
      </c>
      <c r="J15" s="44">
        <v>135</v>
      </c>
      <c r="K15" s="44"/>
      <c r="L15" s="44"/>
      <c r="M15" s="44"/>
      <c r="N15" s="44"/>
      <c r="O15" s="42"/>
      <c r="P15" s="44">
        <f t="shared" ref="P15:P17" si="3">SUM(D15:O15)</f>
        <v>1002.5</v>
      </c>
      <c r="Q15" s="2"/>
      <c r="R15" s="33">
        <f>P15/$P$11</f>
        <v>0.21584065899759511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2025</v>
      </c>
      <c r="B16" s="25" t="s">
        <v>42</v>
      </c>
      <c r="C16" s="30" t="s">
        <v>30</v>
      </c>
      <c r="D16" s="44">
        <f t="shared" ref="D16:O16" si="4">D12</f>
        <v>759.67000000000007</v>
      </c>
      <c r="E16" s="44">
        <f t="shared" si="4"/>
        <v>767.44000000000051</v>
      </c>
      <c r="F16" s="44">
        <f t="shared" si="4"/>
        <v>267.80999999999949</v>
      </c>
      <c r="G16" s="44">
        <f t="shared" si="4"/>
        <v>167.78000000000065</v>
      </c>
      <c r="H16" s="44">
        <f t="shared" si="4"/>
        <v>45.039999999999964</v>
      </c>
      <c r="I16" s="44">
        <f t="shared" si="4"/>
        <v>8.8800000000001091</v>
      </c>
      <c r="J16" s="44">
        <f t="shared" si="4"/>
        <v>4.9800000000000004</v>
      </c>
      <c r="K16" s="44">
        <f t="shared" si="4"/>
        <v>0</v>
      </c>
      <c r="L16" s="44">
        <f t="shared" si="4"/>
        <v>0</v>
      </c>
      <c r="M16" s="44">
        <f t="shared" si="4"/>
        <v>0</v>
      </c>
      <c r="N16" s="44">
        <f t="shared" si="4"/>
        <v>0</v>
      </c>
      <c r="O16" s="44">
        <f t="shared" si="4"/>
        <v>0</v>
      </c>
      <c r="P16" s="44">
        <f t="shared" si="3"/>
        <v>2021.6000000000008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2025</v>
      </c>
      <c r="B17" s="25" t="s">
        <v>43</v>
      </c>
      <c r="C17" s="30" t="s">
        <v>30</v>
      </c>
      <c r="D17" s="44">
        <f t="shared" ref="D17:G17" si="5">IF(D16&lt;0,0,((D14/D13))*D16)</f>
        <v>646.96426048192768</v>
      </c>
      <c r="E17" s="44">
        <f t="shared" si="5"/>
        <v>638.3811969465653</v>
      </c>
      <c r="F17" s="44">
        <f t="shared" si="5"/>
        <v>370.95086743648886</v>
      </c>
      <c r="G17" s="44">
        <f t="shared" si="5"/>
        <v>182.19211348314678</v>
      </c>
      <c r="H17" s="44">
        <f>IF(H16=0,0,((H14/H13))*H16)</f>
        <v>107.19519999999991</v>
      </c>
      <c r="I17" s="46">
        <f t="shared" ref="I17:K17" si="6">I16</f>
        <v>8.8800000000001091</v>
      </c>
      <c r="J17" s="46">
        <f t="shared" si="6"/>
        <v>4.9800000000000004</v>
      </c>
      <c r="K17" s="46">
        <f t="shared" si="6"/>
        <v>0</v>
      </c>
      <c r="L17" s="44">
        <f t="shared" ref="L17:O17" si="7">IF(L16=0,0,((L14/L13))*L16)</f>
        <v>0</v>
      </c>
      <c r="M17" s="44">
        <f t="shared" si="7"/>
        <v>0</v>
      </c>
      <c r="N17" s="44">
        <f t="shared" si="7"/>
        <v>0</v>
      </c>
      <c r="O17" s="44">
        <f t="shared" si="7"/>
        <v>0</v>
      </c>
      <c r="P17" s="40">
        <f t="shared" si="3"/>
        <v>1959.5436383481285</v>
      </c>
      <c r="Q17" s="47"/>
      <c r="R17" s="39">
        <f>(P14-P13)/P14</f>
        <v>0.41695571128571768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57">
        <f t="shared" ref="D20:O20" si="8">D11/D7</f>
        <v>39.928709677419356</v>
      </c>
      <c r="E20" s="57">
        <f t="shared" si="8"/>
        <v>41.806428571428569</v>
      </c>
      <c r="F20" s="57">
        <f t="shared" si="8"/>
        <v>19.503870967741939</v>
      </c>
      <c r="G20" s="57">
        <f t="shared" si="8"/>
        <v>18.133333333333333</v>
      </c>
      <c r="H20" s="57">
        <f t="shared" si="8"/>
        <v>12.295161290322582</v>
      </c>
      <c r="I20" s="57">
        <f t="shared" si="8"/>
        <v>11.883333333333333</v>
      </c>
      <c r="J20" s="57">
        <f t="shared" si="8"/>
        <v>11.290000000000001</v>
      </c>
      <c r="K20" s="57">
        <f t="shared" si="8"/>
        <v>0</v>
      </c>
      <c r="L20" s="57">
        <f t="shared" si="8"/>
        <v>0</v>
      </c>
      <c r="M20" s="57">
        <f t="shared" si="8"/>
        <v>0</v>
      </c>
      <c r="N20" s="57">
        <f t="shared" si="8"/>
        <v>0</v>
      </c>
      <c r="O20" s="57">
        <f t="shared" si="8"/>
        <v>0</v>
      </c>
      <c r="P20" s="57">
        <f>P11/365</f>
        <v>12.725013698630136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57">
        <f t="shared" ref="D21:D22" si="9">SUM(D11)</f>
        <v>1237.79</v>
      </c>
      <c r="E21" s="57">
        <f t="shared" ref="E21:O21" si="10">SUM($D$11:E11)</f>
        <v>2408.37</v>
      </c>
      <c r="F21" s="57">
        <f t="shared" si="10"/>
        <v>3012.99</v>
      </c>
      <c r="G21" s="57">
        <f t="shared" si="10"/>
        <v>3556.99</v>
      </c>
      <c r="H21" s="57">
        <f t="shared" si="10"/>
        <v>3938.14</v>
      </c>
      <c r="I21" s="57">
        <f t="shared" si="10"/>
        <v>4294.6399999999994</v>
      </c>
      <c r="J21" s="57">
        <f t="shared" si="10"/>
        <v>4644.6299999999992</v>
      </c>
      <c r="K21" s="57">
        <f t="shared" si="10"/>
        <v>4644.6299999999992</v>
      </c>
      <c r="L21" s="57">
        <f t="shared" si="10"/>
        <v>4644.6299999999992</v>
      </c>
      <c r="M21" s="57">
        <f t="shared" si="10"/>
        <v>4644.6299999999992</v>
      </c>
      <c r="N21" s="57">
        <f t="shared" si="10"/>
        <v>4644.6299999999992</v>
      </c>
      <c r="O21" s="57">
        <f t="shared" si="10"/>
        <v>4644.6299999999992</v>
      </c>
      <c r="P21" s="57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57">
        <f t="shared" si="9"/>
        <v>759.67000000000007</v>
      </c>
      <c r="E22" s="57">
        <f t="shared" ref="E22:O22" si="11">SUM($D$12:E12)</f>
        <v>1527.1100000000006</v>
      </c>
      <c r="F22" s="57">
        <f t="shared" si="11"/>
        <v>1794.92</v>
      </c>
      <c r="G22" s="57">
        <f t="shared" si="11"/>
        <v>1962.7000000000007</v>
      </c>
      <c r="H22" s="57">
        <f t="shared" si="11"/>
        <v>2007.7400000000007</v>
      </c>
      <c r="I22" s="57">
        <f t="shared" si="11"/>
        <v>2016.6200000000008</v>
      </c>
      <c r="J22" s="57">
        <f t="shared" si="11"/>
        <v>2021.6000000000008</v>
      </c>
      <c r="K22" s="57">
        <f t="shared" si="11"/>
        <v>2021.6000000000008</v>
      </c>
      <c r="L22" s="57">
        <f t="shared" si="11"/>
        <v>2021.6000000000008</v>
      </c>
      <c r="M22" s="57">
        <f t="shared" si="11"/>
        <v>2021.6000000000008</v>
      </c>
      <c r="N22" s="57">
        <f t="shared" si="11"/>
        <v>2021.6000000000008</v>
      </c>
      <c r="O22" s="57">
        <f t="shared" si="11"/>
        <v>2021.6000000000008</v>
      </c>
      <c r="P22" s="57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57">
        <f>SUM(D16)</f>
        <v>759.67000000000007</v>
      </c>
      <c r="E23" s="57">
        <f t="shared" ref="E23:O23" si="12">SUM($D$16:E16)</f>
        <v>1527.1100000000006</v>
      </c>
      <c r="F23" s="57">
        <f t="shared" si="12"/>
        <v>1794.92</v>
      </c>
      <c r="G23" s="57">
        <f t="shared" si="12"/>
        <v>1962.7000000000007</v>
      </c>
      <c r="H23" s="57">
        <f t="shared" si="12"/>
        <v>2007.7400000000007</v>
      </c>
      <c r="I23" s="57">
        <f t="shared" si="12"/>
        <v>2016.6200000000008</v>
      </c>
      <c r="J23" s="57">
        <f t="shared" si="12"/>
        <v>2021.6000000000008</v>
      </c>
      <c r="K23" s="57">
        <f t="shared" si="12"/>
        <v>2021.6000000000008</v>
      </c>
      <c r="L23" s="57">
        <f t="shared" si="12"/>
        <v>2021.6000000000008</v>
      </c>
      <c r="M23" s="57">
        <f t="shared" si="12"/>
        <v>2021.6000000000008</v>
      </c>
      <c r="N23" s="57">
        <f t="shared" si="12"/>
        <v>2021.6000000000008</v>
      </c>
      <c r="O23" s="57">
        <f t="shared" si="12"/>
        <v>2021.6000000000008</v>
      </c>
      <c r="P23" s="57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57">
        <f t="shared" ref="D24:O24" si="13">(D11-D16-D15)/D7</f>
        <v>10.326451612903222</v>
      </c>
      <c r="E24" s="57">
        <f t="shared" si="13"/>
        <v>9.4871428571428371</v>
      </c>
      <c r="F24" s="57">
        <f t="shared" si="13"/>
        <v>6.5906451612903432</v>
      </c>
      <c r="G24" s="57">
        <f t="shared" si="13"/>
        <v>7.5906666666666451</v>
      </c>
      <c r="H24" s="57">
        <f t="shared" si="13"/>
        <v>5.8100000000000023</v>
      </c>
      <c r="I24" s="57">
        <f t="shared" si="13"/>
        <v>7.0873333333333299</v>
      </c>
      <c r="J24" s="57">
        <f t="shared" si="13"/>
        <v>6.774516129032258</v>
      </c>
      <c r="K24" s="57">
        <f t="shared" si="13"/>
        <v>0</v>
      </c>
      <c r="L24" s="57">
        <f t="shared" si="13"/>
        <v>0</v>
      </c>
      <c r="M24" s="57">
        <f t="shared" si="13"/>
        <v>0</v>
      </c>
      <c r="N24" s="57">
        <f t="shared" si="13"/>
        <v>0</v>
      </c>
      <c r="O24" s="57">
        <f t="shared" si="13"/>
        <v>0</v>
      </c>
      <c r="P24" s="57">
        <f>(P11-P16-P15)</f>
        <v>1620.5299999999984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D21+'2025'!$P$11-'2025'!D21</f>
        <v>7400.0599999999986</v>
      </c>
      <c r="E25" s="10">
        <f>E21+'2025'!$P$11-'2025'!E21</f>
        <v>7738.62</v>
      </c>
      <c r="F25" s="10">
        <f>F21+'2025'!$P$11-'2025'!F21</f>
        <v>7666.7399999999989</v>
      </c>
      <c r="G25" s="10">
        <f>G21+'2025'!$P$11-'2025'!G21</f>
        <v>7619.4999999999991</v>
      </c>
      <c r="H25" s="10">
        <f>H21+'2025'!$P$11-'2025'!H21</f>
        <v>7491.6999999999989</v>
      </c>
      <c r="I25" s="10">
        <f>I21+'2025'!$P$11-'2025'!I21</f>
        <v>7429.5399999999991</v>
      </c>
      <c r="J25" s="10">
        <f>J21+'2025'!$P$11-'2025'!J21</f>
        <v>7381.4599999999991</v>
      </c>
      <c r="K25" s="10">
        <f>K21+'2025'!$P$11-'2025'!K21</f>
        <v>7094.3799999999992</v>
      </c>
      <c r="L25" s="10">
        <f>L21+'2025'!$P$11-'2025'!L21</f>
        <v>6719.3099999999995</v>
      </c>
      <c r="M25" s="10">
        <f>M21+'2025'!$P$11-'2025'!M21</f>
        <v>6138.0099999999993</v>
      </c>
      <c r="N25" s="10">
        <f>N21+'2025'!$P$11-'2025'!N21</f>
        <v>5461.4499999999989</v>
      </c>
      <c r="O25" s="10">
        <f>O21+'2025'!$P$11-'2025'!O21</f>
        <v>4644.6299999999992</v>
      </c>
      <c r="P25" s="57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D22+SUM('2025'!E12:$O12)</f>
        <v>2517.1899999999996</v>
      </c>
      <c r="E26" s="10">
        <f>E22+SUM('2025'!F12:$O12)</f>
        <v>2905.76</v>
      </c>
      <c r="F26" s="10">
        <f>F22+SUM('2025'!G12:$O12)</f>
        <v>2901.2799999999997</v>
      </c>
      <c r="G26" s="10">
        <f>G22+SUM('2025'!H12:$O12)</f>
        <v>2908</v>
      </c>
      <c r="H26" s="10">
        <f>H22+SUM('2025'!I12:$O12)</f>
        <v>2864.4800000000005</v>
      </c>
      <c r="I26" s="10">
        <f>I22+SUM('2025'!J12:$O12)</f>
        <v>2843.8500000000004</v>
      </c>
      <c r="J26" s="10">
        <f>J22+SUM('2025'!K12:$O12)</f>
        <v>2843.67</v>
      </c>
      <c r="K26" s="10">
        <f>K22+SUM('2025'!L12:$O12)</f>
        <v>2822.53</v>
      </c>
      <c r="L26" s="10">
        <f>L22+SUM('2025'!M12:$O12)</f>
        <v>2756.44</v>
      </c>
      <c r="M26" s="10">
        <f>M22+SUM('2025'!N12:$O12)</f>
        <v>2591.7500000000005</v>
      </c>
      <c r="N26" s="10">
        <f>N22+SUM('2025'!O12:$O12)</f>
        <v>2319.27</v>
      </c>
      <c r="O26" s="10">
        <f>O22</f>
        <v>2021.6000000000008</v>
      </c>
      <c r="P26" s="57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0.61373092366233373</v>
      </c>
      <c r="E28" s="51">
        <f t="shared" si="14"/>
        <v>0.65560662235814771</v>
      </c>
      <c r="F28" s="51">
        <f t="shared" si="14"/>
        <v>0.44293936687506108</v>
      </c>
      <c r="G28" s="51">
        <f t="shared" si="14"/>
        <v>0.30841911764706004</v>
      </c>
      <c r="H28" s="51">
        <f t="shared" si="14"/>
        <v>0.1181686999868817</v>
      </c>
      <c r="I28" s="51">
        <f t="shared" si="14"/>
        <v>2.4908835904628637E-2</v>
      </c>
      <c r="J28" s="51">
        <f t="shared" si="14"/>
        <v>1.4228977970799167E-2</v>
      </c>
      <c r="K28" s="51" t="e">
        <f t="shared" si="14"/>
        <v>#DIV/0!</v>
      </c>
      <c r="L28" s="51" t="e">
        <f t="shared" si="14"/>
        <v>#DIV/0!</v>
      </c>
      <c r="M28" s="51" t="e">
        <f t="shared" si="14"/>
        <v>#DIV/0!</v>
      </c>
      <c r="N28" s="51" t="e">
        <f t="shared" si="14"/>
        <v>#DIV/0!</v>
      </c>
      <c r="O28" s="51" t="e">
        <f t="shared" si="14"/>
        <v>#DIV/0!</v>
      </c>
      <c r="P28" s="51">
        <f t="shared" si="14"/>
        <v>0.4352553378848264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54</v>
      </c>
      <c r="D29" s="57">
        <f t="shared" ref="D29:H29" si="15">D16/D13</f>
        <v>0.9335703614457832</v>
      </c>
      <c r="E29" s="57">
        <f t="shared" si="15"/>
        <v>0.99591450381679447</v>
      </c>
      <c r="F29" s="57">
        <f t="shared" si="15"/>
        <v>0.63086882217089946</v>
      </c>
      <c r="G29" s="57">
        <f t="shared" si="15"/>
        <v>0.48071797752809181</v>
      </c>
      <c r="H29" s="57">
        <f t="shared" si="15"/>
        <v>0.69607272727272673</v>
      </c>
      <c r="I29" s="52"/>
      <c r="J29" s="52"/>
      <c r="K29" s="52"/>
      <c r="L29" s="57" t="e">
        <f t="shared" ref="L29:P29" si="16">L16/L13</f>
        <v>#DIV/0!</v>
      </c>
      <c r="M29" s="57" t="e">
        <f t="shared" si="16"/>
        <v>#DIV/0!</v>
      </c>
      <c r="N29" s="57" t="e">
        <f t="shared" si="16"/>
        <v>#DIV/0!</v>
      </c>
      <c r="O29" s="57" t="e">
        <f t="shared" si="16"/>
        <v>#DIV/0!</v>
      </c>
      <c r="P29" s="57">
        <f t="shared" si="16"/>
        <v>0.83449291784702584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57">
        <f t="shared" ref="D30:P30" si="17">D16/D7</f>
        <v>24.505483870967744</v>
      </c>
      <c r="E30" s="57">
        <f t="shared" si="17"/>
        <v>27.408571428571445</v>
      </c>
      <c r="F30" s="57">
        <f t="shared" si="17"/>
        <v>8.6390322580644998</v>
      </c>
      <c r="G30" s="57">
        <f t="shared" si="17"/>
        <v>5.5926666666666884</v>
      </c>
      <c r="H30" s="57">
        <f t="shared" si="17"/>
        <v>1.4529032258064505</v>
      </c>
      <c r="I30" s="57">
        <f t="shared" si="17"/>
        <v>0.29600000000000365</v>
      </c>
      <c r="J30" s="57">
        <f t="shared" si="17"/>
        <v>0.16064516129032261</v>
      </c>
      <c r="K30" s="57">
        <f t="shared" si="17"/>
        <v>0</v>
      </c>
      <c r="L30" s="57">
        <f t="shared" si="17"/>
        <v>0</v>
      </c>
      <c r="M30" s="57">
        <f t="shared" si="17"/>
        <v>0</v>
      </c>
      <c r="N30" s="57">
        <f t="shared" si="17"/>
        <v>0</v>
      </c>
      <c r="O30" s="57">
        <f t="shared" si="17"/>
        <v>0</v>
      </c>
      <c r="P30" s="57">
        <f t="shared" si="17"/>
        <v>5.5386301369863036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57">
        <f t="shared" ref="D31:P31" si="18">D17/D7</f>
        <v>20.869814854255733</v>
      </c>
      <c r="E31" s="57">
        <f t="shared" si="18"/>
        <v>22.799328462377332</v>
      </c>
      <c r="F31" s="57">
        <f t="shared" si="18"/>
        <v>11.966157014080286</v>
      </c>
      <c r="G31" s="57">
        <f t="shared" si="18"/>
        <v>6.0730704494382257</v>
      </c>
      <c r="H31" s="57">
        <f t="shared" si="18"/>
        <v>3.4579096774193521</v>
      </c>
      <c r="I31" s="57">
        <f t="shared" si="18"/>
        <v>0.29600000000000365</v>
      </c>
      <c r="J31" s="57">
        <f t="shared" si="18"/>
        <v>0.16064516129032261</v>
      </c>
      <c r="K31" s="57">
        <f t="shared" si="18"/>
        <v>0</v>
      </c>
      <c r="L31" s="57">
        <f t="shared" si="18"/>
        <v>0</v>
      </c>
      <c r="M31" s="57">
        <f t="shared" si="18"/>
        <v>0</v>
      </c>
      <c r="N31" s="57">
        <f t="shared" si="18"/>
        <v>0</v>
      </c>
      <c r="O31" s="57">
        <f t="shared" si="18"/>
        <v>0</v>
      </c>
      <c r="P31" s="57">
        <f t="shared" si="18"/>
        <v>5.3686127078030914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57</v>
      </c>
      <c r="D32" s="57">
        <f t="shared" ref="D32:P32" si="19">D16/$F$4</f>
        <v>3.1401703042328042</v>
      </c>
      <c r="E32" s="57">
        <f t="shared" si="19"/>
        <v>3.1722883597883618</v>
      </c>
      <c r="F32" s="57">
        <f t="shared" si="19"/>
        <v>1.1070188492063471</v>
      </c>
      <c r="G32" s="57">
        <f t="shared" si="19"/>
        <v>0.69353505291005557</v>
      </c>
      <c r="H32" s="57">
        <f t="shared" si="19"/>
        <v>0.18617724867724852</v>
      </c>
      <c r="I32" s="57">
        <f t="shared" si="19"/>
        <v>3.6706349206349652E-2</v>
      </c>
      <c r="J32" s="57">
        <f t="shared" si="19"/>
        <v>2.058531746031746E-2</v>
      </c>
      <c r="K32" s="57">
        <f t="shared" si="19"/>
        <v>0</v>
      </c>
      <c r="L32" s="57">
        <f t="shared" si="19"/>
        <v>0</v>
      </c>
      <c r="M32" s="57">
        <f t="shared" si="19"/>
        <v>0</v>
      </c>
      <c r="N32" s="57">
        <f t="shared" si="19"/>
        <v>0</v>
      </c>
      <c r="O32" s="57">
        <f t="shared" si="19"/>
        <v>0</v>
      </c>
      <c r="P32" s="57">
        <f t="shared" si="19"/>
        <v>8.3564814814814845</v>
      </c>
      <c r="Q32" s="2"/>
      <c r="R32" s="2"/>
      <c r="S32" s="2"/>
      <c r="T32" s="57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58</v>
      </c>
      <c r="D33" s="57">
        <f t="shared" ref="D33:P33" si="20">D16/$F$3</f>
        <v>7.9132291666666674</v>
      </c>
      <c r="E33" s="57">
        <f t="shared" si="20"/>
        <v>7.994166666666672</v>
      </c>
      <c r="F33" s="57">
        <f t="shared" si="20"/>
        <v>2.7896874999999945</v>
      </c>
      <c r="G33" s="57">
        <f t="shared" si="20"/>
        <v>1.7477083333333401</v>
      </c>
      <c r="H33" s="57">
        <f t="shared" si="20"/>
        <v>0.46916666666666629</v>
      </c>
      <c r="I33" s="57">
        <f t="shared" si="20"/>
        <v>9.2500000000001137E-2</v>
      </c>
      <c r="J33" s="57">
        <f t="shared" si="20"/>
        <v>5.1875000000000004E-2</v>
      </c>
      <c r="K33" s="57">
        <f t="shared" si="20"/>
        <v>0</v>
      </c>
      <c r="L33" s="57">
        <f t="shared" si="20"/>
        <v>0</v>
      </c>
      <c r="M33" s="57">
        <f t="shared" si="20"/>
        <v>0</v>
      </c>
      <c r="N33" s="57">
        <f t="shared" si="20"/>
        <v>0</v>
      </c>
      <c r="O33" s="57">
        <f t="shared" si="20"/>
        <v>0</v>
      </c>
      <c r="P33" s="57">
        <f t="shared" si="20"/>
        <v>21.058333333333341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57</v>
      </c>
      <c r="D34" s="57">
        <f t="shared" ref="D34:P34" si="21">D17/$F$4</f>
        <v>2.674290097891566</v>
      </c>
      <c r="E34" s="57">
        <f t="shared" si="21"/>
        <v>2.6388111646270058</v>
      </c>
      <c r="F34" s="57">
        <f t="shared" si="21"/>
        <v>1.5333617205542693</v>
      </c>
      <c r="G34" s="57">
        <f t="shared" si="21"/>
        <v>0.75310893470216089</v>
      </c>
      <c r="H34" s="57">
        <f t="shared" si="21"/>
        <v>0.44310185185185147</v>
      </c>
      <c r="I34" s="57">
        <f t="shared" si="21"/>
        <v>3.6706349206349652E-2</v>
      </c>
      <c r="J34" s="57">
        <f t="shared" si="21"/>
        <v>2.058531746031746E-2</v>
      </c>
      <c r="K34" s="57">
        <f t="shared" si="21"/>
        <v>0</v>
      </c>
      <c r="L34" s="57">
        <f t="shared" si="21"/>
        <v>0</v>
      </c>
      <c r="M34" s="57">
        <f t="shared" si="21"/>
        <v>0</v>
      </c>
      <c r="N34" s="57">
        <f t="shared" si="21"/>
        <v>0</v>
      </c>
      <c r="O34" s="57">
        <f t="shared" si="21"/>
        <v>0</v>
      </c>
      <c r="P34" s="57">
        <f t="shared" si="21"/>
        <v>8.0999654362935196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58</v>
      </c>
      <c r="D35" s="57">
        <f t="shared" ref="D35:P35" si="22">D17/$F$3</f>
        <v>6.739211046686747</v>
      </c>
      <c r="E35" s="57">
        <f t="shared" si="22"/>
        <v>6.6498041348600552</v>
      </c>
      <c r="F35" s="57">
        <f t="shared" si="22"/>
        <v>3.864071535796759</v>
      </c>
      <c r="G35" s="57">
        <f t="shared" si="22"/>
        <v>1.8978345154494456</v>
      </c>
      <c r="H35" s="57">
        <f t="shared" si="22"/>
        <v>1.1166166666666657</v>
      </c>
      <c r="I35" s="57">
        <f t="shared" si="22"/>
        <v>9.2500000000001137E-2</v>
      </c>
      <c r="J35" s="57">
        <f t="shared" si="22"/>
        <v>5.1875000000000004E-2</v>
      </c>
      <c r="K35" s="57">
        <f t="shared" si="22"/>
        <v>0</v>
      </c>
      <c r="L35" s="57">
        <f t="shared" si="22"/>
        <v>0</v>
      </c>
      <c r="M35" s="57">
        <f t="shared" si="22"/>
        <v>0</v>
      </c>
      <c r="N35" s="57">
        <f t="shared" si="22"/>
        <v>0</v>
      </c>
      <c r="O35" s="57">
        <f t="shared" si="22"/>
        <v>0</v>
      </c>
      <c r="P35" s="57">
        <f t="shared" si="22"/>
        <v>20.411912899459672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62</v>
      </c>
      <c r="D36" s="57">
        <f t="shared" ref="D36:H36" si="23">1000*D32/D13</f>
        <v>3.8590044702620001</v>
      </c>
      <c r="E36" s="57">
        <f t="shared" si="23"/>
        <v>4.1167100852215386</v>
      </c>
      <c r="F36" s="57">
        <f t="shared" si="23"/>
        <v>2.60775802815352</v>
      </c>
      <c r="G36" s="57">
        <f t="shared" si="23"/>
        <v>1.9870948145175751</v>
      </c>
      <c r="H36" s="57">
        <f t="shared" si="23"/>
        <v>2.87728475228475</v>
      </c>
      <c r="I36" s="52"/>
      <c r="J36" s="52"/>
      <c r="K36" s="52"/>
      <c r="L36" s="57" t="e">
        <f t="shared" ref="L36:P36" si="24">1000*L32/L13</f>
        <v>#DIV/0!</v>
      </c>
      <c r="M36" s="57" t="e">
        <f t="shared" si="24"/>
        <v>#DIV/0!</v>
      </c>
      <c r="N36" s="57" t="e">
        <f t="shared" si="24"/>
        <v>#DIV/0!</v>
      </c>
      <c r="O36" s="57" t="e">
        <f t="shared" si="24"/>
        <v>#DIV/0!</v>
      </c>
      <c r="P36" s="57">
        <f t="shared" si="24"/>
        <v>3.4494581590898887</v>
      </c>
      <c r="Q36" s="2"/>
      <c r="R36" s="2"/>
      <c r="S36" s="2"/>
      <c r="T36" s="57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57"/>
      <c r="E37" s="57"/>
      <c r="F37" s="57"/>
      <c r="G37" s="57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57"/>
      <c r="G40" s="8" t="s">
        <v>65</v>
      </c>
      <c r="H40" s="57"/>
      <c r="I40" s="57"/>
      <c r="J40" s="57"/>
      <c r="K40" s="57">
        <v>6800</v>
      </c>
      <c r="L40" s="8" t="s">
        <v>30</v>
      </c>
      <c r="M40" s="8" t="s">
        <v>66</v>
      </c>
      <c r="N40" s="57"/>
      <c r="O40" s="57"/>
      <c r="P40" s="57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57"/>
      <c r="G41" s="8" t="s">
        <v>68</v>
      </c>
      <c r="H41" s="57"/>
      <c r="I41" s="57"/>
      <c r="J41" s="57"/>
      <c r="K41" s="57">
        <f>K40-D40</f>
        <v>4000</v>
      </c>
      <c r="L41" s="8" t="s">
        <v>30</v>
      </c>
      <c r="M41" s="57"/>
      <c r="N41" s="10">
        <f>D43-D40+K40</f>
        <v>12400</v>
      </c>
      <c r="O41" s="8" t="s">
        <v>30</v>
      </c>
      <c r="P41" s="5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57"/>
      <c r="G42" s="8" t="s">
        <v>70</v>
      </c>
      <c r="H42" s="57"/>
      <c r="I42" s="57"/>
      <c r="J42" s="57"/>
      <c r="K42" s="56">
        <f>K41/K40</f>
        <v>0.58823529411764708</v>
      </c>
      <c r="L42" s="57"/>
      <c r="M42" s="57"/>
      <c r="N42" s="57"/>
      <c r="O42" s="57"/>
      <c r="P42" s="57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57"/>
      <c r="G43" s="8" t="s">
        <v>71</v>
      </c>
      <c r="H43" s="57"/>
      <c r="I43" s="57"/>
      <c r="J43" s="57"/>
      <c r="K43" s="56">
        <f>K41/(SUM(D41:D42)+K40)</f>
        <v>0.32258064516129031</v>
      </c>
      <c r="L43" s="57"/>
      <c r="M43" s="57"/>
      <c r="N43" s="57"/>
      <c r="O43" s="57"/>
      <c r="P43" s="57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487</v>
      </c>
      <c r="B46" s="2"/>
      <c r="C46" s="2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57">
        <v>14.81</v>
      </c>
      <c r="E47" s="57">
        <v>17.12</v>
      </c>
      <c r="F47" s="57">
        <v>3.03</v>
      </c>
      <c r="G47" s="57">
        <v>4.38</v>
      </c>
      <c r="H47" s="57">
        <v>4.0199999999999996</v>
      </c>
      <c r="I47" s="57">
        <v>3.81</v>
      </c>
      <c r="J47" s="57">
        <v>1.72</v>
      </c>
      <c r="K47" s="57"/>
      <c r="L47" s="57"/>
      <c r="M47" s="57"/>
      <c r="N47" s="57"/>
      <c r="O47" s="57"/>
      <c r="P47" s="57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(SUMPRODUCT($D$47:D47,$D$11:D11)+SUMPRODUCT('2025'!E$47:$O47,'2025'!E$11:$O11))/D25</f>
        <v>6.3746860701129462</v>
      </c>
      <c r="E49" s="18">
        <f>(SUMPRODUCT($D$47:E47,$D$11:E11)+SUMPRODUCT('2025'!F$47:$O47,'2025'!F$11:$O11))/E25</f>
        <v>8.0199292897183234</v>
      </c>
      <c r="F49" s="18">
        <f>(SUMPRODUCT($D$47:F47,$D$11:F11)+SUMPRODUCT('2025'!G$47:$O47,'2025'!G$11:$O11))/(F21+SUM('2025'!G$11:$O11))</f>
        <v>7.8531760304901441</v>
      </c>
      <c r="G49" s="18">
        <f>(SUMPRODUCT($D$47:G47,$D$11:G11)+SUMPRODUCT('2025'!H$47:$O47,'2025'!H$11:$O11))/(G21+SUM('2025'!H$11:$O11))</f>
        <v>7.8591901830828803</v>
      </c>
      <c r="H49" s="18">
        <f>(SUMPRODUCT($D$47:H47,$D$11:H11)+SUMPRODUCT('2025'!I$47:$O47,'2025'!I$11:$O11))/(H21+SUM('2025'!I$11:$O11))</f>
        <v>8.0490038442543099</v>
      </c>
      <c r="I49" s="18">
        <f>(SUMPRODUCT($D$47:I47,$D$11:I11)+SUMPRODUCT('2025'!J$47:$O47,'2025'!J$11:$O11))/(I21+SUM('2025'!J$11:$O11))</f>
        <v>8.2011159102716995</v>
      </c>
      <c r="J49" s="18">
        <f>(SUMPRODUCT($D$47:J47,$D$11:J11)+SUMPRODUCT('2025'!K$47:$O47,'2025'!K$11:$O11))/(J21+SUM('2025'!K$11:$O11))</f>
        <v>8.1802352380152445</v>
      </c>
      <c r="K49" s="18">
        <f>(SUMPRODUCT($D$47:K47,$D$11:K11)+SUMPRODUCT('2025'!L$47:$O47,'2025'!L$11:$O11))/(K21+SUM('2025'!L$11:$O11))</f>
        <v>8.2822186575853003</v>
      </c>
      <c r="L49" s="18">
        <f>(SUMPRODUCT($D$47:L47,$D$11:L11)+SUMPRODUCT('2025'!M$47:$O47,'2025'!M$11:$O11))/(L21+SUM('2025'!M$11:$O11))</f>
        <v>8.5050631835709325</v>
      </c>
      <c r="M49" s="18">
        <f>(SUMPRODUCT($D$47:M47,$D$11:M11)+SUMPRODUCT('2025'!N$47:$O47,'2025'!N$11:$O11))/(M21+SUM('2025'!N$11:$O11))</f>
        <v>8.8133338166604496</v>
      </c>
      <c r="N49" s="18">
        <f>(SUMPRODUCT($D$47:N47,$D$11:N11)+SUMPRODUCT('2025'!O$47:$O47,'2025'!O$11:$O11))/(N21+SUM('2025'!O$11:$O11))</f>
        <v>9.1296387406274899</v>
      </c>
      <c r="O49" s="18">
        <f>(SUMPRODUCT($D$47:O47,$D$11:O11))/(O21)</f>
        <v>9.920960098005656</v>
      </c>
      <c r="P49" s="57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18"/>
      <c r="P51" s="57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18"/>
      <c r="P52" s="57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57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000-000000000000}"/>
    <hyperlink ref="R2" r:id="rId2" xr:uid="{00000000-0004-0000-0000-000001000000}"/>
    <hyperlink ref="R3" r:id="rId3" location="!/" xr:uid="{00000000-0004-0000-0000-000002000000}"/>
  </hyperlinks>
  <pageMargins left="0.39374999999999999" right="0.39374999999999999" top="0.59027777777777801" bottom="0.59027777777777801" header="0" footer="0"/>
  <pageSetup paperSize="9" orientation="portrait" r:id="rId4"/>
  <headerFooter>
    <oddHeader>&amp;R&amp;D</oddHeader>
    <oddFooter>&amp;LEnergiaekspertti Janne Tiainen</oddFoot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00"/>
  <sheetViews>
    <sheetView workbookViewId="0"/>
  </sheetViews>
  <sheetFormatPr defaultColWidth="12.6640625" defaultRowHeight="15" customHeight="1" x14ac:dyDescent="0.25"/>
  <cols>
    <col min="1" max="6" width="8.44140625" customWidth="1"/>
  </cols>
  <sheetData>
    <row r="1" spans="1:6" ht="12.75" customHeight="1" x14ac:dyDescent="0.25">
      <c r="A1" s="2"/>
      <c r="B1" s="2"/>
      <c r="C1" s="2"/>
      <c r="D1" s="2"/>
      <c r="E1" s="2"/>
      <c r="F1" s="2"/>
    </row>
    <row r="2" spans="1:6" ht="12.75" customHeight="1" x14ac:dyDescent="0.25">
      <c r="A2" s="2"/>
      <c r="B2" s="2"/>
      <c r="C2" s="2"/>
      <c r="D2" s="2"/>
      <c r="E2" s="2"/>
      <c r="F2" s="2"/>
    </row>
    <row r="3" spans="1:6" ht="12.75" customHeight="1" x14ac:dyDescent="0.25">
      <c r="A3" s="2"/>
      <c r="B3" s="2"/>
      <c r="C3" s="2"/>
      <c r="D3" s="2"/>
      <c r="E3" s="2"/>
      <c r="F3" s="2"/>
    </row>
    <row r="4" spans="1:6" ht="12.75" customHeight="1" x14ac:dyDescent="0.25">
      <c r="A4" s="2"/>
      <c r="B4" s="2"/>
      <c r="C4" s="2"/>
      <c r="D4" s="2"/>
      <c r="E4" s="2"/>
      <c r="F4" s="2"/>
    </row>
    <row r="5" spans="1:6" ht="12.75" customHeight="1" x14ac:dyDescent="0.25">
      <c r="A5" s="2"/>
      <c r="B5" s="2"/>
      <c r="C5" s="2"/>
      <c r="D5" s="2"/>
      <c r="E5" s="2"/>
      <c r="F5" s="2"/>
    </row>
    <row r="6" spans="1:6" ht="12.75" customHeight="1" x14ac:dyDescent="0.25">
      <c r="A6" s="2"/>
      <c r="B6" s="2"/>
      <c r="C6" s="2"/>
      <c r="D6" s="2"/>
      <c r="E6" s="2"/>
      <c r="F6" s="2"/>
    </row>
    <row r="7" spans="1:6" ht="12.75" customHeight="1" x14ac:dyDescent="0.25">
      <c r="A7" s="2"/>
      <c r="B7" s="2"/>
      <c r="C7" s="2"/>
      <c r="D7" s="2"/>
      <c r="E7" s="2"/>
      <c r="F7" s="2"/>
    </row>
    <row r="8" spans="1:6" ht="12.75" customHeight="1" x14ac:dyDescent="0.25">
      <c r="A8" s="2"/>
      <c r="B8" s="2"/>
      <c r="C8" s="2"/>
      <c r="D8" s="2"/>
      <c r="E8" s="2"/>
      <c r="F8" s="2"/>
    </row>
    <row r="9" spans="1:6" ht="12.75" customHeight="1" x14ac:dyDescent="0.25">
      <c r="A9" s="2"/>
      <c r="B9" s="2"/>
      <c r="C9" s="2"/>
      <c r="D9" s="2"/>
      <c r="E9" s="2"/>
      <c r="F9" s="2"/>
    </row>
    <row r="10" spans="1:6" ht="12.75" customHeight="1" x14ac:dyDescent="0.25">
      <c r="A10" s="2"/>
      <c r="B10" s="2"/>
      <c r="C10" s="2"/>
      <c r="D10" s="2"/>
      <c r="E10" s="2"/>
      <c r="F10" s="2"/>
    </row>
    <row r="11" spans="1:6" ht="12.75" customHeight="1" x14ac:dyDescent="0.25">
      <c r="A11" s="2"/>
      <c r="B11" s="2"/>
      <c r="C11" s="2"/>
      <c r="D11" s="2"/>
      <c r="E11" s="2"/>
      <c r="F11" s="2"/>
    </row>
    <row r="12" spans="1:6" ht="12.75" customHeight="1" x14ac:dyDescent="0.25">
      <c r="A12" s="2"/>
      <c r="B12" s="2"/>
      <c r="C12" s="2"/>
      <c r="D12" s="2"/>
      <c r="E12" s="2"/>
      <c r="F12" s="2"/>
    </row>
    <row r="13" spans="1:6" ht="12.75" customHeight="1" x14ac:dyDescent="0.25">
      <c r="A13" s="2"/>
      <c r="B13" s="2"/>
      <c r="C13" s="2"/>
      <c r="D13" s="2"/>
      <c r="E13" s="2"/>
      <c r="F13" s="2"/>
    </row>
    <row r="14" spans="1:6" ht="12.75" customHeight="1" x14ac:dyDescent="0.25">
      <c r="A14" s="2"/>
      <c r="B14" s="2"/>
      <c r="C14" s="2"/>
      <c r="D14" s="2"/>
      <c r="E14" s="2"/>
      <c r="F14" s="2"/>
    </row>
    <row r="15" spans="1:6" ht="12.75" customHeight="1" x14ac:dyDescent="0.25">
      <c r="A15" s="2"/>
      <c r="B15" s="2"/>
      <c r="C15" s="2"/>
      <c r="D15" s="2"/>
      <c r="E15" s="2"/>
      <c r="F15" s="2"/>
    </row>
    <row r="16" spans="1:6" ht="12.75" customHeight="1" x14ac:dyDescent="0.25">
      <c r="A16" s="2"/>
      <c r="B16" s="2"/>
      <c r="C16" s="2"/>
      <c r="D16" s="2"/>
      <c r="E16" s="2"/>
      <c r="F16" s="2"/>
    </row>
    <row r="17" spans="1:6" ht="12.75" customHeight="1" x14ac:dyDescent="0.25">
      <c r="A17" s="2"/>
      <c r="B17" s="2"/>
      <c r="C17" s="2"/>
      <c r="D17" s="2"/>
      <c r="E17" s="2"/>
      <c r="F17" s="2"/>
    </row>
    <row r="18" spans="1:6" ht="12.75" customHeight="1" x14ac:dyDescent="0.25">
      <c r="A18" s="2"/>
      <c r="B18" s="2"/>
      <c r="C18" s="2"/>
      <c r="D18" s="2"/>
      <c r="E18" s="2"/>
      <c r="F18" s="2"/>
    </row>
    <row r="19" spans="1:6" ht="12.75" customHeight="1" x14ac:dyDescent="0.25">
      <c r="A19" s="2"/>
      <c r="B19" s="2"/>
      <c r="C19" s="2"/>
      <c r="D19" s="2"/>
      <c r="E19" s="2"/>
      <c r="F19" s="2"/>
    </row>
    <row r="20" spans="1:6" ht="12.75" customHeight="1" x14ac:dyDescent="0.25">
      <c r="A20" s="2"/>
      <c r="B20" s="2"/>
      <c r="C20" s="2"/>
      <c r="D20" s="2"/>
      <c r="E20" s="2"/>
      <c r="F20" s="2"/>
    </row>
    <row r="21" spans="1:6" ht="12.75" customHeight="1" x14ac:dyDescent="0.25">
      <c r="A21" s="2"/>
      <c r="B21" s="2"/>
      <c r="C21" s="2"/>
      <c r="D21" s="2"/>
      <c r="E21" s="2"/>
      <c r="F21" s="2"/>
    </row>
    <row r="22" spans="1:6" ht="12.75" customHeight="1" x14ac:dyDescent="0.25">
      <c r="A22" s="2"/>
      <c r="B22" s="2"/>
      <c r="C22" s="2"/>
      <c r="D22" s="2"/>
      <c r="E22" s="2"/>
      <c r="F22" s="2"/>
    </row>
    <row r="23" spans="1:6" ht="12.75" customHeight="1" x14ac:dyDescent="0.25">
      <c r="A23" s="2"/>
      <c r="B23" s="2"/>
      <c r="C23" s="2"/>
      <c r="D23" s="2"/>
      <c r="E23" s="2"/>
      <c r="F23" s="2"/>
    </row>
    <row r="24" spans="1:6" ht="12.75" customHeight="1" x14ac:dyDescent="0.25">
      <c r="A24" s="2"/>
      <c r="B24" s="2"/>
      <c r="C24" s="2"/>
      <c r="D24" s="2"/>
      <c r="E24" s="2"/>
      <c r="F24" s="2"/>
    </row>
    <row r="25" spans="1:6" ht="12.75" customHeight="1" x14ac:dyDescent="0.25">
      <c r="A25" s="2"/>
      <c r="B25" s="2"/>
      <c r="C25" s="2"/>
      <c r="D25" s="2"/>
      <c r="E25" s="2"/>
      <c r="F25" s="2"/>
    </row>
    <row r="26" spans="1:6" ht="12.75" customHeight="1" x14ac:dyDescent="0.25">
      <c r="A26" s="2"/>
      <c r="B26" s="2"/>
      <c r="C26" s="2"/>
      <c r="D26" s="2"/>
      <c r="E26" s="2"/>
      <c r="F26" s="2"/>
    </row>
    <row r="27" spans="1:6" ht="12.75" customHeight="1" x14ac:dyDescent="0.25">
      <c r="A27" s="2"/>
      <c r="B27" s="2"/>
      <c r="C27" s="2"/>
      <c r="D27" s="2"/>
      <c r="E27" s="2"/>
      <c r="F27" s="2"/>
    </row>
    <row r="28" spans="1:6" ht="12.75" customHeight="1" x14ac:dyDescent="0.25">
      <c r="A28" s="2"/>
      <c r="B28" s="2"/>
      <c r="C28" s="2"/>
      <c r="D28" s="2"/>
      <c r="E28" s="2"/>
      <c r="F28" s="2"/>
    </row>
    <row r="29" spans="1:6" ht="12.75" customHeight="1" x14ac:dyDescent="0.25">
      <c r="A29" s="2"/>
      <c r="B29" s="2"/>
      <c r="C29" s="2"/>
      <c r="D29" s="2"/>
      <c r="E29" s="2"/>
      <c r="F29" s="2"/>
    </row>
    <row r="30" spans="1:6" ht="12.75" customHeight="1" x14ac:dyDescent="0.25">
      <c r="A30" s="2"/>
      <c r="B30" s="2"/>
      <c r="C30" s="2"/>
      <c r="D30" s="2"/>
      <c r="E30" s="2"/>
      <c r="F30" s="2"/>
    </row>
    <row r="31" spans="1:6" ht="12.75" customHeight="1" x14ac:dyDescent="0.25">
      <c r="A31" s="2"/>
      <c r="B31" s="2"/>
      <c r="C31" s="2"/>
      <c r="D31" s="2"/>
      <c r="E31" s="2"/>
      <c r="F31" s="2"/>
    </row>
    <row r="32" spans="1:6" ht="12.75" customHeight="1" x14ac:dyDescent="0.25">
      <c r="A32" s="2"/>
      <c r="B32" s="2"/>
      <c r="C32" s="2"/>
      <c r="D32" s="2"/>
      <c r="E32" s="2"/>
      <c r="F32" s="2"/>
    </row>
    <row r="33" spans="1:6" ht="12.75" customHeight="1" x14ac:dyDescent="0.25">
      <c r="A33" s="2"/>
      <c r="B33" s="2"/>
      <c r="C33" s="2"/>
      <c r="D33" s="2"/>
      <c r="E33" s="2"/>
      <c r="F33" s="2"/>
    </row>
    <row r="34" spans="1:6" ht="12.75" customHeight="1" x14ac:dyDescent="0.25">
      <c r="A34" s="2"/>
      <c r="B34" s="2"/>
      <c r="C34" s="2"/>
      <c r="D34" s="2"/>
      <c r="E34" s="2"/>
      <c r="F34" s="2"/>
    </row>
    <row r="35" spans="1:6" ht="12.75" customHeight="1" x14ac:dyDescent="0.25">
      <c r="A35" s="2"/>
      <c r="B35" s="2"/>
      <c r="C35" s="2"/>
      <c r="D35" s="2"/>
      <c r="E35" s="2"/>
      <c r="F35" s="2"/>
    </row>
    <row r="36" spans="1:6" ht="12.75" customHeight="1" x14ac:dyDescent="0.25">
      <c r="A36" s="2"/>
      <c r="B36" s="2"/>
      <c r="C36" s="2"/>
      <c r="D36" s="2"/>
      <c r="E36" s="2"/>
      <c r="F36" s="2"/>
    </row>
    <row r="37" spans="1:6" ht="12.75" customHeight="1" x14ac:dyDescent="0.25">
      <c r="A37" s="2"/>
      <c r="B37" s="2"/>
      <c r="C37" s="2"/>
      <c r="D37" s="2"/>
      <c r="E37" s="2"/>
      <c r="F37" s="2"/>
    </row>
    <row r="38" spans="1:6" ht="12.75" customHeight="1" x14ac:dyDescent="0.25">
      <c r="A38" s="2"/>
      <c r="B38" s="2"/>
      <c r="C38" s="2"/>
      <c r="D38" s="2"/>
      <c r="E38" s="2"/>
      <c r="F38" s="2"/>
    </row>
    <row r="39" spans="1:6" ht="12.75" customHeight="1" x14ac:dyDescent="0.25">
      <c r="A39" s="2"/>
      <c r="B39" s="2"/>
      <c r="C39" s="2"/>
      <c r="D39" s="2"/>
      <c r="E39" s="2"/>
      <c r="F39" s="2"/>
    </row>
    <row r="40" spans="1:6" ht="12.75" customHeight="1" x14ac:dyDescent="0.25">
      <c r="A40" s="2"/>
      <c r="B40" s="2"/>
      <c r="C40" s="2"/>
      <c r="D40" s="2"/>
      <c r="E40" s="2"/>
      <c r="F40" s="2"/>
    </row>
    <row r="41" spans="1:6" ht="12.75" customHeight="1" x14ac:dyDescent="0.25">
      <c r="A41" s="2"/>
      <c r="B41" s="2"/>
      <c r="C41" s="2"/>
      <c r="D41" s="2"/>
      <c r="E41" s="2"/>
      <c r="F41" s="2"/>
    </row>
    <row r="42" spans="1:6" ht="12.75" customHeight="1" x14ac:dyDescent="0.25">
      <c r="A42" s="2"/>
      <c r="B42" s="2"/>
      <c r="C42" s="2"/>
      <c r="D42" s="2"/>
      <c r="E42" s="2"/>
      <c r="F42" s="2"/>
    </row>
    <row r="43" spans="1:6" ht="12.75" customHeight="1" x14ac:dyDescent="0.25">
      <c r="A43" s="2"/>
      <c r="B43" s="2"/>
      <c r="C43" s="2"/>
      <c r="D43" s="2"/>
      <c r="E43" s="2"/>
      <c r="F43" s="2"/>
    </row>
    <row r="44" spans="1:6" ht="12.75" customHeight="1" x14ac:dyDescent="0.25">
      <c r="A44" s="2"/>
      <c r="B44" s="2"/>
      <c r="C44" s="2"/>
      <c r="D44" s="2"/>
      <c r="E44" s="2"/>
      <c r="F44" s="2"/>
    </row>
    <row r="45" spans="1:6" ht="12.75" customHeight="1" x14ac:dyDescent="0.25">
      <c r="A45" s="2"/>
      <c r="B45" s="2"/>
      <c r="C45" s="2"/>
      <c r="D45" s="2"/>
      <c r="E45" s="2"/>
      <c r="F45" s="2"/>
    </row>
    <row r="46" spans="1:6" ht="12.75" customHeight="1" x14ac:dyDescent="0.25">
      <c r="A46" s="2"/>
      <c r="B46" s="2"/>
      <c r="C46" s="2"/>
      <c r="D46" s="2"/>
      <c r="E46" s="2"/>
      <c r="F46" s="2"/>
    </row>
    <row r="47" spans="1:6" ht="12.75" customHeight="1" x14ac:dyDescent="0.25">
      <c r="A47" s="2"/>
      <c r="B47" s="2"/>
      <c r="C47" s="2"/>
      <c r="D47" s="2"/>
      <c r="E47" s="2"/>
      <c r="F47" s="2"/>
    </row>
    <row r="48" spans="1:6" ht="12.75" customHeight="1" x14ac:dyDescent="0.25">
      <c r="A48" s="2"/>
      <c r="B48" s="2"/>
      <c r="C48" s="2"/>
      <c r="D48" s="2"/>
      <c r="E48" s="2"/>
      <c r="F48" s="2"/>
    </row>
    <row r="49" spans="1:6" ht="12.75" customHeight="1" x14ac:dyDescent="0.25">
      <c r="A49" s="2"/>
      <c r="B49" s="2"/>
      <c r="C49" s="2"/>
      <c r="D49" s="2"/>
      <c r="E49" s="2"/>
      <c r="F49" s="2"/>
    </row>
    <row r="50" spans="1:6" ht="12.75" customHeight="1" x14ac:dyDescent="0.25">
      <c r="A50" s="2"/>
      <c r="B50" s="2"/>
      <c r="C50" s="2"/>
      <c r="D50" s="2"/>
      <c r="E50" s="2"/>
      <c r="F50" s="2"/>
    </row>
    <row r="51" spans="1:6" ht="12.75" customHeight="1" x14ac:dyDescent="0.25">
      <c r="A51" s="2"/>
      <c r="B51" s="2"/>
      <c r="C51" s="2"/>
      <c r="D51" s="2"/>
      <c r="E51" s="2"/>
      <c r="F51" s="2"/>
    </row>
    <row r="52" spans="1:6" ht="12.75" customHeight="1" x14ac:dyDescent="0.25">
      <c r="A52" s="2"/>
      <c r="B52" s="2"/>
      <c r="C52" s="2"/>
      <c r="D52" s="2"/>
      <c r="E52" s="2"/>
      <c r="F52" s="2"/>
    </row>
    <row r="53" spans="1:6" ht="12.75" customHeight="1" x14ac:dyDescent="0.25">
      <c r="A53" s="2"/>
      <c r="B53" s="2"/>
      <c r="C53" s="2"/>
      <c r="D53" s="2"/>
      <c r="E53" s="2"/>
      <c r="F53" s="2"/>
    </row>
    <row r="54" spans="1:6" ht="12.75" customHeight="1" x14ac:dyDescent="0.25">
      <c r="A54" s="2"/>
      <c r="B54" s="2"/>
      <c r="C54" s="2"/>
      <c r="D54" s="2"/>
      <c r="E54" s="2"/>
      <c r="F54" s="2"/>
    </row>
    <row r="55" spans="1:6" ht="12.75" customHeight="1" x14ac:dyDescent="0.25">
      <c r="A55" s="2"/>
      <c r="B55" s="2"/>
      <c r="C55" s="2"/>
      <c r="D55" s="2"/>
      <c r="E55" s="2"/>
      <c r="F55" s="2"/>
    </row>
    <row r="56" spans="1:6" ht="12.75" customHeight="1" x14ac:dyDescent="0.25">
      <c r="A56" s="2"/>
      <c r="B56" s="2"/>
      <c r="C56" s="2"/>
      <c r="D56" s="2"/>
      <c r="E56" s="2"/>
      <c r="F56" s="2"/>
    </row>
    <row r="57" spans="1:6" ht="12.75" customHeight="1" x14ac:dyDescent="0.25">
      <c r="A57" s="2"/>
      <c r="B57" s="2"/>
      <c r="C57" s="2"/>
      <c r="D57" s="2"/>
      <c r="E57" s="2"/>
      <c r="F57" s="2"/>
    </row>
    <row r="58" spans="1:6" ht="12.75" customHeight="1" x14ac:dyDescent="0.25">
      <c r="A58" s="2"/>
      <c r="B58" s="2"/>
      <c r="C58" s="2"/>
      <c r="D58" s="2"/>
      <c r="E58" s="2"/>
      <c r="F58" s="2"/>
    </row>
    <row r="59" spans="1:6" ht="12.75" customHeight="1" x14ac:dyDescent="0.25">
      <c r="A59" s="2"/>
      <c r="B59" s="2"/>
      <c r="C59" s="2"/>
      <c r="D59" s="2"/>
      <c r="E59" s="2"/>
      <c r="F59" s="2"/>
    </row>
    <row r="60" spans="1:6" ht="12.75" customHeight="1" x14ac:dyDescent="0.25">
      <c r="A60" s="2"/>
      <c r="B60" s="2"/>
      <c r="C60" s="2"/>
      <c r="D60" s="2"/>
      <c r="E60" s="2"/>
      <c r="F60" s="2"/>
    </row>
    <row r="61" spans="1:6" ht="12.75" customHeight="1" x14ac:dyDescent="0.25">
      <c r="A61" s="2"/>
      <c r="B61" s="2"/>
      <c r="C61" s="2"/>
      <c r="D61" s="2"/>
      <c r="E61" s="2"/>
      <c r="F61" s="2"/>
    </row>
    <row r="62" spans="1:6" ht="12.75" customHeight="1" x14ac:dyDescent="0.25">
      <c r="A62" s="2"/>
      <c r="B62" s="2"/>
      <c r="C62" s="2"/>
      <c r="D62" s="2"/>
      <c r="E62" s="2"/>
      <c r="F62" s="2"/>
    </row>
    <row r="63" spans="1:6" ht="12.75" customHeight="1" x14ac:dyDescent="0.25">
      <c r="A63" s="2"/>
      <c r="B63" s="2"/>
      <c r="C63" s="2"/>
      <c r="D63" s="2"/>
      <c r="E63" s="2"/>
      <c r="F63" s="2"/>
    </row>
    <row r="64" spans="1:6" ht="12.75" customHeight="1" x14ac:dyDescent="0.25">
      <c r="A64" s="2"/>
      <c r="B64" s="2"/>
      <c r="C64" s="2"/>
      <c r="D64" s="2"/>
      <c r="E64" s="2"/>
      <c r="F64" s="2"/>
    </row>
    <row r="65" spans="1:6" ht="12.75" customHeight="1" x14ac:dyDescent="0.25">
      <c r="A65" s="2"/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2"/>
      <c r="D66" s="2"/>
      <c r="E66" s="2"/>
      <c r="F66" s="2"/>
    </row>
    <row r="67" spans="1:6" ht="12.75" customHeight="1" x14ac:dyDescent="0.25">
      <c r="A67" s="2"/>
      <c r="B67" s="2"/>
      <c r="C67" s="2"/>
      <c r="D67" s="2"/>
      <c r="E67" s="2"/>
      <c r="F67" s="2"/>
    </row>
    <row r="68" spans="1:6" ht="12.75" customHeight="1" x14ac:dyDescent="0.25">
      <c r="A68" s="2"/>
      <c r="B68" s="2"/>
      <c r="C68" s="2"/>
      <c r="D68" s="2"/>
      <c r="E68" s="2"/>
      <c r="F68" s="2"/>
    </row>
    <row r="69" spans="1:6" ht="12.75" customHeight="1" x14ac:dyDescent="0.25">
      <c r="A69" s="2"/>
      <c r="B69" s="2"/>
      <c r="C69" s="2"/>
      <c r="D69" s="2"/>
      <c r="E69" s="2"/>
      <c r="F69" s="2"/>
    </row>
    <row r="70" spans="1:6" ht="12.75" customHeight="1" x14ac:dyDescent="0.25">
      <c r="A70" s="2"/>
      <c r="B70" s="2"/>
      <c r="C70" s="2"/>
      <c r="D70" s="2"/>
      <c r="E70" s="2"/>
      <c r="F70" s="2"/>
    </row>
    <row r="71" spans="1:6" ht="12.75" customHeight="1" x14ac:dyDescent="0.25">
      <c r="A71" s="2"/>
      <c r="B71" s="2"/>
      <c r="C71" s="2"/>
      <c r="D71" s="2"/>
      <c r="E71" s="2"/>
      <c r="F71" s="2"/>
    </row>
    <row r="72" spans="1:6" ht="12.75" customHeight="1" x14ac:dyDescent="0.25">
      <c r="A72" s="2"/>
      <c r="B72" s="2"/>
      <c r="C72" s="2"/>
      <c r="D72" s="2"/>
      <c r="E72" s="2"/>
      <c r="F72" s="2"/>
    </row>
    <row r="73" spans="1:6" ht="12.75" customHeight="1" x14ac:dyDescent="0.25">
      <c r="A73" s="2"/>
      <c r="B73" s="2"/>
      <c r="C73" s="2"/>
      <c r="D73" s="2"/>
      <c r="E73" s="2"/>
      <c r="F73" s="2"/>
    </row>
    <row r="74" spans="1:6" ht="12.75" customHeight="1" x14ac:dyDescent="0.25">
      <c r="A74" s="2"/>
      <c r="B74" s="2"/>
      <c r="C74" s="2"/>
      <c r="D74" s="2"/>
      <c r="E74" s="2"/>
      <c r="F74" s="2"/>
    </row>
    <row r="75" spans="1:6" ht="12.75" customHeight="1" x14ac:dyDescent="0.25">
      <c r="A75" s="2"/>
      <c r="B75" s="2"/>
      <c r="C75" s="2"/>
      <c r="D75" s="2"/>
      <c r="E75" s="2"/>
      <c r="F75" s="2"/>
    </row>
    <row r="76" spans="1:6" ht="12.75" customHeight="1" x14ac:dyDescent="0.25">
      <c r="A76" s="2"/>
      <c r="B76" s="2"/>
      <c r="C76" s="2"/>
      <c r="D76" s="2"/>
      <c r="E76" s="2"/>
      <c r="F76" s="2"/>
    </row>
    <row r="77" spans="1:6" ht="12.75" customHeight="1" x14ac:dyDescent="0.25">
      <c r="A77" s="2"/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2"/>
      <c r="D78" s="2"/>
      <c r="E78" s="2"/>
      <c r="F78" s="2"/>
    </row>
    <row r="79" spans="1:6" ht="12.75" customHeight="1" x14ac:dyDescent="0.25">
      <c r="A79" s="2"/>
      <c r="B79" s="2"/>
      <c r="C79" s="2"/>
      <c r="D79" s="2"/>
      <c r="E79" s="2"/>
      <c r="F79" s="2"/>
    </row>
    <row r="80" spans="1:6" ht="12.75" customHeight="1" x14ac:dyDescent="0.25">
      <c r="A80" s="2"/>
      <c r="B80" s="2"/>
      <c r="C80" s="2"/>
      <c r="D80" s="2"/>
      <c r="E80" s="2"/>
      <c r="F80" s="2"/>
    </row>
    <row r="81" spans="1:6" ht="12.75" customHeight="1" x14ac:dyDescent="0.25">
      <c r="A81" s="2"/>
      <c r="B81" s="2"/>
      <c r="C81" s="2"/>
      <c r="D81" s="2"/>
      <c r="E81" s="2"/>
      <c r="F81" s="2"/>
    </row>
    <row r="82" spans="1:6" ht="12.75" customHeight="1" x14ac:dyDescent="0.25">
      <c r="A82" s="2"/>
      <c r="B82" s="2"/>
      <c r="C82" s="2"/>
      <c r="D82" s="2"/>
      <c r="E82" s="2"/>
      <c r="F82" s="2"/>
    </row>
    <row r="83" spans="1:6" ht="12.75" customHeight="1" x14ac:dyDescent="0.25">
      <c r="A83" s="2"/>
      <c r="B83" s="2"/>
      <c r="C83" s="2"/>
      <c r="D83" s="2"/>
      <c r="E83" s="2"/>
      <c r="F83" s="2"/>
    </row>
    <row r="84" spans="1:6" ht="12.75" customHeight="1" x14ac:dyDescent="0.25">
      <c r="A84" s="2"/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2"/>
      <c r="D85" s="2"/>
      <c r="E85" s="2"/>
      <c r="F85" s="2"/>
    </row>
    <row r="86" spans="1:6" ht="12.75" customHeight="1" x14ac:dyDescent="0.25">
      <c r="A86" s="2"/>
      <c r="B86" s="2"/>
      <c r="C86" s="2"/>
      <c r="D86" s="2"/>
      <c r="E86" s="2"/>
      <c r="F86" s="2"/>
    </row>
    <row r="87" spans="1:6" ht="12.75" customHeight="1" x14ac:dyDescent="0.25">
      <c r="A87" s="2"/>
      <c r="B87" s="2"/>
      <c r="C87" s="2"/>
      <c r="D87" s="2"/>
      <c r="E87" s="2"/>
      <c r="F87" s="2"/>
    </row>
    <row r="88" spans="1:6" ht="12.75" customHeight="1" x14ac:dyDescent="0.25">
      <c r="A88" s="2"/>
      <c r="B88" s="2"/>
      <c r="C88" s="2"/>
      <c r="D88" s="2"/>
      <c r="E88" s="2"/>
      <c r="F88" s="2"/>
    </row>
    <row r="89" spans="1:6" ht="12.75" customHeight="1" x14ac:dyDescent="0.25">
      <c r="A89" s="2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2"/>
      <c r="B91" s="2"/>
      <c r="C91" s="2"/>
      <c r="D91" s="2"/>
      <c r="E91" s="2"/>
      <c r="F91" s="2"/>
    </row>
    <row r="92" spans="1:6" ht="12.75" customHeight="1" x14ac:dyDescent="0.25">
      <c r="A92" s="2"/>
      <c r="B92" s="2"/>
      <c r="C92" s="2"/>
      <c r="D92" s="2"/>
      <c r="E92" s="2"/>
      <c r="F92" s="2"/>
    </row>
    <row r="93" spans="1:6" ht="12.75" customHeight="1" x14ac:dyDescent="0.25">
      <c r="A93" s="2"/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2"/>
      <c r="D94" s="2"/>
      <c r="E94" s="2"/>
      <c r="F94" s="2"/>
    </row>
    <row r="95" spans="1:6" ht="12.75" customHeight="1" x14ac:dyDescent="0.25">
      <c r="A95" s="2"/>
      <c r="B95" s="2"/>
      <c r="C95" s="2"/>
      <c r="D95" s="2"/>
      <c r="E95" s="2"/>
      <c r="F95" s="2"/>
    </row>
    <row r="96" spans="1:6" ht="12.75" customHeight="1" x14ac:dyDescent="0.25">
      <c r="A96" s="2"/>
      <c r="B96" s="2"/>
      <c r="C96" s="2"/>
      <c r="D96" s="2"/>
      <c r="E96" s="2"/>
      <c r="F96" s="2"/>
    </row>
    <row r="97" spans="1:6" ht="12.75" customHeight="1" x14ac:dyDescent="0.25">
      <c r="A97" s="2"/>
      <c r="B97" s="2"/>
      <c r="C97" s="2"/>
      <c r="D97" s="2"/>
      <c r="E97" s="2"/>
      <c r="F97" s="2"/>
    </row>
    <row r="98" spans="1:6" ht="12.75" customHeight="1" x14ac:dyDescent="0.25">
      <c r="A98" s="2"/>
      <c r="B98" s="2"/>
      <c r="C98" s="2"/>
      <c r="D98" s="2"/>
      <c r="E98" s="2"/>
      <c r="F98" s="2"/>
    </row>
    <row r="99" spans="1:6" ht="12.75" customHeight="1" x14ac:dyDescent="0.25">
      <c r="A99" s="2"/>
      <c r="B99" s="2"/>
      <c r="C99" s="2"/>
      <c r="D99" s="2"/>
      <c r="E99" s="2"/>
      <c r="F99" s="2"/>
    </row>
    <row r="100" spans="1:6" ht="12.75" customHeight="1" x14ac:dyDescent="0.25">
      <c r="A100" s="2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2"/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2"/>
      <c r="D103" s="2"/>
      <c r="E103" s="2"/>
      <c r="F103" s="2"/>
    </row>
    <row r="104" spans="1:6" ht="12.75" customHeight="1" x14ac:dyDescent="0.25">
      <c r="A104" s="2"/>
      <c r="B104" s="2"/>
      <c r="C104" s="2"/>
      <c r="D104" s="2"/>
      <c r="E104" s="2"/>
      <c r="F104" s="2"/>
    </row>
    <row r="105" spans="1:6" ht="12.75" customHeight="1" x14ac:dyDescent="0.25">
      <c r="A105" s="2"/>
      <c r="B105" s="2"/>
      <c r="C105" s="2"/>
      <c r="D105" s="2"/>
      <c r="E105" s="2"/>
      <c r="F105" s="2"/>
    </row>
    <row r="106" spans="1:6" ht="12.75" customHeight="1" x14ac:dyDescent="0.25">
      <c r="A106" s="2"/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2"/>
      <c r="D107" s="2"/>
      <c r="E107" s="2"/>
      <c r="F107" s="2"/>
    </row>
    <row r="108" spans="1:6" ht="12.75" customHeight="1" x14ac:dyDescent="0.25">
      <c r="A108" s="2"/>
      <c r="B108" s="2"/>
      <c r="C108" s="2"/>
      <c r="D108" s="2"/>
      <c r="E108" s="2"/>
      <c r="F108" s="2"/>
    </row>
    <row r="109" spans="1:6" ht="12.75" customHeight="1" x14ac:dyDescent="0.25">
      <c r="A109" s="2"/>
      <c r="B109" s="2"/>
      <c r="C109" s="2"/>
      <c r="D109" s="2"/>
      <c r="E109" s="2"/>
      <c r="F109" s="2"/>
    </row>
    <row r="110" spans="1:6" ht="12.75" customHeight="1" x14ac:dyDescent="0.25">
      <c r="A110" s="2"/>
      <c r="B110" s="2"/>
      <c r="C110" s="2"/>
      <c r="D110" s="2"/>
      <c r="E110" s="2"/>
      <c r="F110" s="2"/>
    </row>
    <row r="111" spans="1:6" ht="12.75" customHeight="1" x14ac:dyDescent="0.25">
      <c r="A111" s="2"/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2"/>
      <c r="D112" s="2"/>
      <c r="E112" s="2"/>
      <c r="F112" s="2"/>
    </row>
    <row r="113" spans="1:6" ht="12.75" customHeight="1" x14ac:dyDescent="0.25">
      <c r="A113" s="2"/>
      <c r="B113" s="2"/>
      <c r="C113" s="2"/>
      <c r="D113" s="2"/>
      <c r="E113" s="2"/>
      <c r="F113" s="2"/>
    </row>
    <row r="114" spans="1:6" ht="12.75" customHeight="1" x14ac:dyDescent="0.25">
      <c r="A114" s="2"/>
      <c r="B114" s="2"/>
      <c r="C114" s="2"/>
      <c r="D114" s="2"/>
      <c r="E114" s="2"/>
      <c r="F114" s="2"/>
    </row>
    <row r="115" spans="1:6" ht="12.75" customHeight="1" x14ac:dyDescent="0.25">
      <c r="A115" s="2"/>
      <c r="B115" s="2"/>
      <c r="C115" s="2"/>
      <c r="D115" s="2"/>
      <c r="E115" s="2"/>
      <c r="F115" s="2"/>
    </row>
    <row r="116" spans="1:6" ht="12.75" customHeight="1" x14ac:dyDescent="0.25">
      <c r="A116" s="2"/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2"/>
      <c r="D117" s="2"/>
      <c r="E117" s="2"/>
      <c r="F117" s="2"/>
    </row>
    <row r="118" spans="1:6" ht="12.75" customHeight="1" x14ac:dyDescent="0.25">
      <c r="A118" s="2"/>
      <c r="B118" s="2"/>
      <c r="C118" s="2"/>
      <c r="D118" s="2"/>
      <c r="E118" s="2"/>
      <c r="F118" s="2"/>
    </row>
    <row r="119" spans="1:6" ht="12.75" customHeight="1" x14ac:dyDescent="0.25">
      <c r="A119" s="2"/>
      <c r="B119" s="2"/>
      <c r="C119" s="2"/>
      <c r="D119" s="2"/>
      <c r="E119" s="2"/>
      <c r="F119" s="2"/>
    </row>
    <row r="120" spans="1:6" ht="12.75" customHeight="1" x14ac:dyDescent="0.25">
      <c r="A120" s="2"/>
      <c r="B120" s="2"/>
      <c r="C120" s="2"/>
      <c r="D120" s="2"/>
      <c r="E120" s="2"/>
      <c r="F120" s="2"/>
    </row>
    <row r="121" spans="1:6" ht="12.75" customHeight="1" x14ac:dyDescent="0.25">
      <c r="A121" s="2"/>
      <c r="B121" s="2"/>
      <c r="C121" s="2"/>
      <c r="D121" s="2"/>
      <c r="E121" s="2"/>
      <c r="F121" s="2"/>
    </row>
    <row r="122" spans="1:6" ht="12.75" customHeight="1" x14ac:dyDescent="0.25">
      <c r="A122" s="2"/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2"/>
      <c r="D123" s="2"/>
      <c r="E123" s="2"/>
      <c r="F123" s="2"/>
    </row>
    <row r="124" spans="1:6" ht="12.75" customHeight="1" x14ac:dyDescent="0.25">
      <c r="A124" s="2"/>
      <c r="B124" s="2"/>
      <c r="C124" s="2"/>
      <c r="D124" s="2"/>
      <c r="E124" s="2"/>
      <c r="F124" s="2"/>
    </row>
    <row r="125" spans="1:6" ht="12.75" customHeight="1" x14ac:dyDescent="0.25">
      <c r="A125" s="2"/>
      <c r="B125" s="2"/>
      <c r="C125" s="2"/>
      <c r="D125" s="2"/>
      <c r="E125" s="2"/>
      <c r="F125" s="2"/>
    </row>
    <row r="126" spans="1:6" ht="12.75" customHeight="1" x14ac:dyDescent="0.25">
      <c r="A126" s="2"/>
      <c r="B126" s="2"/>
      <c r="C126" s="2"/>
      <c r="D126" s="2"/>
      <c r="E126" s="2"/>
      <c r="F126" s="2"/>
    </row>
    <row r="127" spans="1:6" ht="12.75" customHeight="1" x14ac:dyDescent="0.25">
      <c r="A127" s="2"/>
      <c r="B127" s="2"/>
      <c r="C127" s="2"/>
      <c r="D127" s="2"/>
      <c r="E127" s="2"/>
      <c r="F127" s="2"/>
    </row>
    <row r="128" spans="1:6" ht="12.75" customHeight="1" x14ac:dyDescent="0.25">
      <c r="A128" s="2"/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2"/>
      <c r="D129" s="2"/>
      <c r="E129" s="2"/>
      <c r="F129" s="2"/>
    </row>
    <row r="130" spans="1:6" ht="12.75" customHeight="1" x14ac:dyDescent="0.25">
      <c r="A130" s="2"/>
      <c r="B130" s="2"/>
      <c r="C130" s="2"/>
      <c r="D130" s="2"/>
      <c r="E130" s="2"/>
      <c r="F130" s="2"/>
    </row>
    <row r="131" spans="1:6" ht="12.75" customHeight="1" x14ac:dyDescent="0.25">
      <c r="A131" s="2"/>
      <c r="B131" s="2"/>
      <c r="C131" s="2"/>
      <c r="D131" s="2"/>
      <c r="E131" s="2"/>
      <c r="F131" s="2"/>
    </row>
    <row r="132" spans="1:6" ht="12.75" customHeight="1" x14ac:dyDescent="0.25">
      <c r="A132" s="2"/>
      <c r="B132" s="2"/>
      <c r="C132" s="2"/>
      <c r="D132" s="2"/>
      <c r="E132" s="2"/>
      <c r="F132" s="2"/>
    </row>
    <row r="133" spans="1:6" ht="12.75" customHeight="1" x14ac:dyDescent="0.25">
      <c r="A133" s="2"/>
      <c r="B133" s="2"/>
      <c r="C133" s="2"/>
      <c r="D133" s="2"/>
      <c r="E133" s="2"/>
      <c r="F133" s="2"/>
    </row>
    <row r="134" spans="1:6" ht="12.75" customHeight="1" x14ac:dyDescent="0.25">
      <c r="A134" s="2"/>
      <c r="B134" s="2"/>
      <c r="C134" s="2"/>
      <c r="D134" s="2"/>
      <c r="E134" s="2"/>
      <c r="F134" s="2"/>
    </row>
    <row r="135" spans="1:6" ht="12.75" customHeight="1" x14ac:dyDescent="0.25">
      <c r="A135" s="2"/>
      <c r="B135" s="2"/>
      <c r="C135" s="2"/>
      <c r="D135" s="2"/>
      <c r="E135" s="2"/>
      <c r="F135" s="2"/>
    </row>
    <row r="136" spans="1:6" ht="12.75" customHeight="1" x14ac:dyDescent="0.25">
      <c r="A136" s="2"/>
      <c r="B136" s="2"/>
      <c r="C136" s="2"/>
      <c r="D136" s="2"/>
      <c r="E136" s="2"/>
      <c r="F136" s="2"/>
    </row>
    <row r="137" spans="1:6" ht="12.75" customHeight="1" x14ac:dyDescent="0.25">
      <c r="A137" s="2"/>
      <c r="B137" s="2"/>
      <c r="C137" s="2"/>
      <c r="D137" s="2"/>
      <c r="E137" s="2"/>
      <c r="F137" s="2"/>
    </row>
    <row r="138" spans="1:6" ht="12.75" customHeight="1" x14ac:dyDescent="0.25">
      <c r="A138" s="2"/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2"/>
      <c r="D139" s="2"/>
      <c r="E139" s="2"/>
      <c r="F139" s="2"/>
    </row>
    <row r="140" spans="1:6" ht="12.75" customHeight="1" x14ac:dyDescent="0.25">
      <c r="A140" s="2"/>
      <c r="B140" s="2"/>
      <c r="C140" s="2"/>
      <c r="D140" s="2"/>
      <c r="E140" s="2"/>
      <c r="F140" s="2"/>
    </row>
    <row r="141" spans="1:6" ht="12.75" customHeight="1" x14ac:dyDescent="0.25">
      <c r="A141" s="2"/>
      <c r="B141" s="2"/>
      <c r="C141" s="2"/>
      <c r="D141" s="2"/>
      <c r="E141" s="2"/>
      <c r="F141" s="2"/>
    </row>
    <row r="142" spans="1:6" ht="12.75" customHeight="1" x14ac:dyDescent="0.25">
      <c r="A142" s="2"/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2"/>
      <c r="D143" s="2"/>
      <c r="E143" s="2"/>
      <c r="F143" s="2"/>
    </row>
    <row r="144" spans="1:6" ht="12.75" customHeight="1" x14ac:dyDescent="0.25">
      <c r="A144" s="2"/>
      <c r="B144" s="2"/>
      <c r="C144" s="2"/>
      <c r="D144" s="2"/>
      <c r="E144" s="2"/>
      <c r="F144" s="2"/>
    </row>
    <row r="145" spans="1:6" ht="12.75" customHeight="1" x14ac:dyDescent="0.25">
      <c r="A145" s="2"/>
      <c r="B145" s="2"/>
      <c r="C145" s="2"/>
      <c r="D145" s="2"/>
      <c r="E145" s="2"/>
      <c r="F145" s="2"/>
    </row>
    <row r="146" spans="1:6" ht="12.75" customHeight="1" x14ac:dyDescent="0.25">
      <c r="A146" s="2"/>
      <c r="B146" s="2"/>
      <c r="C146" s="2"/>
      <c r="D146" s="2"/>
      <c r="E146" s="2"/>
      <c r="F146" s="2"/>
    </row>
    <row r="147" spans="1:6" ht="12.75" customHeight="1" x14ac:dyDescent="0.25">
      <c r="A147" s="2"/>
      <c r="B147" s="2"/>
      <c r="C147" s="2"/>
      <c r="D147" s="2"/>
      <c r="E147" s="2"/>
      <c r="F147" s="2"/>
    </row>
    <row r="148" spans="1:6" ht="12.75" customHeight="1" x14ac:dyDescent="0.25">
      <c r="A148" s="2"/>
      <c r="B148" s="2"/>
      <c r="C148" s="2"/>
      <c r="D148" s="2"/>
      <c r="E148" s="2"/>
      <c r="F148" s="2"/>
    </row>
    <row r="149" spans="1:6" ht="12.75" customHeight="1" x14ac:dyDescent="0.25">
      <c r="A149" s="2"/>
      <c r="B149" s="2"/>
      <c r="C149" s="2"/>
      <c r="D149" s="2"/>
      <c r="E149" s="2"/>
      <c r="F149" s="2"/>
    </row>
    <row r="150" spans="1:6" ht="12.75" customHeight="1" x14ac:dyDescent="0.25">
      <c r="A150" s="2"/>
      <c r="B150" s="2"/>
      <c r="C150" s="2"/>
      <c r="D150" s="2"/>
      <c r="E150" s="2"/>
      <c r="F150" s="2"/>
    </row>
    <row r="151" spans="1:6" ht="12.75" customHeight="1" x14ac:dyDescent="0.25">
      <c r="A151" s="2"/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2"/>
      <c r="D152" s="2"/>
      <c r="E152" s="2"/>
      <c r="F152" s="2"/>
    </row>
    <row r="153" spans="1:6" ht="12.75" customHeight="1" x14ac:dyDescent="0.25">
      <c r="A153" s="2"/>
      <c r="B153" s="2"/>
      <c r="C153" s="2"/>
      <c r="D153" s="2"/>
      <c r="E153" s="2"/>
      <c r="F153" s="2"/>
    </row>
    <row r="154" spans="1:6" ht="12.75" customHeight="1" x14ac:dyDescent="0.25">
      <c r="A154" s="2"/>
      <c r="B154" s="2"/>
      <c r="C154" s="2"/>
      <c r="D154" s="2"/>
      <c r="E154" s="2"/>
      <c r="F154" s="2"/>
    </row>
    <row r="155" spans="1:6" ht="12.75" customHeight="1" x14ac:dyDescent="0.25">
      <c r="A155" s="2"/>
      <c r="B155" s="2"/>
      <c r="C155" s="2"/>
      <c r="D155" s="2"/>
      <c r="E155" s="2"/>
      <c r="F155" s="2"/>
    </row>
    <row r="156" spans="1:6" ht="12.75" customHeight="1" x14ac:dyDescent="0.25">
      <c r="A156" s="2"/>
      <c r="B156" s="2"/>
      <c r="C156" s="2"/>
      <c r="D156" s="2"/>
      <c r="E156" s="2"/>
      <c r="F156" s="2"/>
    </row>
    <row r="157" spans="1:6" ht="12.75" customHeight="1" x14ac:dyDescent="0.25">
      <c r="A157" s="2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2"/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2"/>
      <c r="D160" s="2"/>
      <c r="E160" s="2"/>
      <c r="F160" s="2"/>
    </row>
    <row r="161" spans="1:6" ht="12.75" customHeight="1" x14ac:dyDescent="0.25">
      <c r="A161" s="2"/>
      <c r="B161" s="2"/>
      <c r="C161" s="2"/>
      <c r="D161" s="2"/>
      <c r="E161" s="2"/>
      <c r="F161" s="2"/>
    </row>
    <row r="162" spans="1:6" ht="12.75" customHeight="1" x14ac:dyDescent="0.25">
      <c r="A162" s="2"/>
      <c r="B162" s="2"/>
      <c r="C162" s="2"/>
      <c r="D162" s="2"/>
      <c r="E162" s="2"/>
      <c r="F162" s="2"/>
    </row>
    <row r="163" spans="1:6" ht="12.75" customHeight="1" x14ac:dyDescent="0.25">
      <c r="A163" s="2"/>
      <c r="B163" s="2"/>
      <c r="C163" s="2"/>
      <c r="D163" s="2"/>
      <c r="E163" s="2"/>
      <c r="F163" s="2"/>
    </row>
    <row r="164" spans="1:6" ht="12.75" customHeight="1" x14ac:dyDescent="0.25">
      <c r="A164" s="2"/>
      <c r="B164" s="2"/>
      <c r="C164" s="2"/>
      <c r="D164" s="2"/>
      <c r="E164" s="2"/>
      <c r="F164" s="2"/>
    </row>
    <row r="165" spans="1:6" ht="12.75" customHeight="1" x14ac:dyDescent="0.25">
      <c r="A165" s="2"/>
      <c r="B165" s="2"/>
      <c r="C165" s="2"/>
      <c r="D165" s="2"/>
      <c r="E165" s="2"/>
      <c r="F165" s="2"/>
    </row>
    <row r="166" spans="1:6" ht="12.75" customHeight="1" x14ac:dyDescent="0.25">
      <c r="A166" s="2"/>
      <c r="B166" s="2"/>
      <c r="C166" s="2"/>
      <c r="D166" s="2"/>
      <c r="E166" s="2"/>
      <c r="F166" s="2"/>
    </row>
    <row r="167" spans="1:6" ht="12.75" customHeight="1" x14ac:dyDescent="0.25">
      <c r="A167" s="2"/>
      <c r="B167" s="2"/>
      <c r="C167" s="2"/>
      <c r="D167" s="2"/>
      <c r="E167" s="2"/>
      <c r="F167" s="2"/>
    </row>
    <row r="168" spans="1:6" ht="12.75" customHeight="1" x14ac:dyDescent="0.25">
      <c r="A168" s="2"/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2"/>
      <c r="D169" s="2"/>
      <c r="E169" s="2"/>
      <c r="F169" s="2"/>
    </row>
    <row r="170" spans="1:6" ht="12.75" customHeight="1" x14ac:dyDescent="0.25">
      <c r="A170" s="2"/>
      <c r="B170" s="2"/>
      <c r="C170" s="2"/>
      <c r="D170" s="2"/>
      <c r="E170" s="2"/>
      <c r="F170" s="2"/>
    </row>
    <row r="171" spans="1:6" ht="12.75" customHeight="1" x14ac:dyDescent="0.25">
      <c r="A171" s="2"/>
      <c r="B171" s="2"/>
      <c r="C171" s="2"/>
      <c r="D171" s="2"/>
      <c r="E171" s="2"/>
      <c r="F171" s="2"/>
    </row>
    <row r="172" spans="1:6" ht="12.75" customHeight="1" x14ac:dyDescent="0.25">
      <c r="A172" s="2"/>
      <c r="B172" s="2"/>
      <c r="C172" s="2"/>
      <c r="D172" s="2"/>
      <c r="E172" s="2"/>
      <c r="F172" s="2"/>
    </row>
    <row r="173" spans="1:6" ht="12.75" customHeight="1" x14ac:dyDescent="0.25">
      <c r="A173" s="2"/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2"/>
      <c r="D174" s="2"/>
      <c r="E174" s="2"/>
      <c r="F174" s="2"/>
    </row>
    <row r="175" spans="1:6" ht="12.75" customHeight="1" x14ac:dyDescent="0.25">
      <c r="A175" s="2"/>
      <c r="B175" s="2"/>
      <c r="C175" s="2"/>
      <c r="D175" s="2"/>
      <c r="E175" s="2"/>
      <c r="F175" s="2"/>
    </row>
    <row r="176" spans="1:6" ht="12.75" customHeight="1" x14ac:dyDescent="0.25">
      <c r="A176" s="2"/>
      <c r="B176" s="2"/>
      <c r="C176" s="2"/>
      <c r="D176" s="2"/>
      <c r="E176" s="2"/>
      <c r="F176" s="2"/>
    </row>
    <row r="177" spans="1:6" ht="12.75" customHeight="1" x14ac:dyDescent="0.25">
      <c r="A177" s="2"/>
      <c r="B177" s="2"/>
      <c r="C177" s="2"/>
      <c r="D177" s="2"/>
      <c r="E177" s="2"/>
      <c r="F177" s="2"/>
    </row>
    <row r="178" spans="1:6" ht="12.75" customHeight="1" x14ac:dyDescent="0.25">
      <c r="A178" s="2"/>
      <c r="B178" s="2"/>
      <c r="C178" s="2"/>
      <c r="D178" s="2"/>
      <c r="E178" s="2"/>
      <c r="F178" s="2"/>
    </row>
    <row r="179" spans="1:6" ht="12.75" customHeight="1" x14ac:dyDescent="0.25">
      <c r="A179" s="2"/>
      <c r="B179" s="2"/>
      <c r="C179" s="2"/>
      <c r="D179" s="2"/>
      <c r="E179" s="2"/>
      <c r="F179" s="2"/>
    </row>
    <row r="180" spans="1:6" ht="12.75" customHeight="1" x14ac:dyDescent="0.25">
      <c r="A180" s="2"/>
      <c r="B180" s="2"/>
      <c r="C180" s="2"/>
      <c r="D180" s="2"/>
      <c r="E180" s="2"/>
      <c r="F180" s="2"/>
    </row>
    <row r="181" spans="1:6" ht="12.75" customHeight="1" x14ac:dyDescent="0.25">
      <c r="A181" s="2"/>
      <c r="B181" s="2"/>
      <c r="C181" s="2"/>
      <c r="D181" s="2"/>
      <c r="E181" s="2"/>
      <c r="F181" s="2"/>
    </row>
    <row r="182" spans="1:6" ht="12.75" customHeight="1" x14ac:dyDescent="0.25">
      <c r="A182" s="2"/>
      <c r="B182" s="2"/>
      <c r="C182" s="2"/>
      <c r="D182" s="2"/>
      <c r="E182" s="2"/>
      <c r="F182" s="2"/>
    </row>
    <row r="183" spans="1:6" ht="12.75" customHeight="1" x14ac:dyDescent="0.25">
      <c r="A183" s="2"/>
      <c r="B183" s="2"/>
      <c r="C183" s="2"/>
      <c r="D183" s="2"/>
      <c r="E183" s="2"/>
      <c r="F183" s="2"/>
    </row>
    <row r="184" spans="1:6" ht="12.75" customHeight="1" x14ac:dyDescent="0.25">
      <c r="A184" s="2"/>
      <c r="B184" s="2"/>
      <c r="C184" s="2"/>
      <c r="D184" s="2"/>
      <c r="E184" s="2"/>
      <c r="F184" s="2"/>
    </row>
    <row r="185" spans="1:6" ht="12.75" customHeight="1" x14ac:dyDescent="0.25">
      <c r="A185" s="2"/>
      <c r="B185" s="2"/>
      <c r="C185" s="2"/>
      <c r="D185" s="2"/>
      <c r="E185" s="2"/>
      <c r="F185" s="2"/>
    </row>
    <row r="186" spans="1:6" ht="12.75" customHeight="1" x14ac:dyDescent="0.25">
      <c r="A186" s="2"/>
      <c r="B186" s="2"/>
      <c r="C186" s="2"/>
      <c r="D186" s="2"/>
      <c r="E186" s="2"/>
      <c r="F186" s="2"/>
    </row>
    <row r="187" spans="1:6" ht="12.75" customHeight="1" x14ac:dyDescent="0.25">
      <c r="A187" s="2"/>
      <c r="B187" s="2"/>
      <c r="C187" s="2"/>
      <c r="D187" s="2"/>
      <c r="E187" s="2"/>
      <c r="F187" s="2"/>
    </row>
    <row r="188" spans="1:6" ht="12.75" customHeight="1" x14ac:dyDescent="0.25">
      <c r="A188" s="2"/>
      <c r="B188" s="2"/>
      <c r="C188" s="2"/>
      <c r="D188" s="2"/>
      <c r="E188" s="2"/>
      <c r="F188" s="2"/>
    </row>
    <row r="189" spans="1:6" ht="12.75" customHeight="1" x14ac:dyDescent="0.25">
      <c r="A189" s="2"/>
      <c r="B189" s="2"/>
      <c r="C189" s="2"/>
      <c r="D189" s="2"/>
      <c r="E189" s="2"/>
      <c r="F189" s="2"/>
    </row>
    <row r="190" spans="1:6" ht="12.75" customHeight="1" x14ac:dyDescent="0.25">
      <c r="A190" s="2"/>
      <c r="B190" s="2"/>
      <c r="C190" s="2"/>
      <c r="D190" s="2"/>
      <c r="E190" s="2"/>
      <c r="F190" s="2"/>
    </row>
    <row r="191" spans="1:6" ht="12.75" customHeight="1" x14ac:dyDescent="0.25">
      <c r="A191" s="2"/>
      <c r="B191" s="2"/>
      <c r="C191" s="2"/>
      <c r="D191" s="2"/>
      <c r="E191" s="2"/>
      <c r="F191" s="2"/>
    </row>
    <row r="192" spans="1:6" ht="12.75" customHeight="1" x14ac:dyDescent="0.25">
      <c r="A192" s="2"/>
      <c r="B192" s="2"/>
      <c r="C192" s="2"/>
      <c r="D192" s="2"/>
      <c r="E192" s="2"/>
      <c r="F192" s="2"/>
    </row>
    <row r="193" spans="1:6" ht="12.75" customHeight="1" x14ac:dyDescent="0.25">
      <c r="A193" s="2"/>
      <c r="B193" s="2"/>
      <c r="C193" s="2"/>
      <c r="D193" s="2"/>
      <c r="E193" s="2"/>
      <c r="F193" s="2"/>
    </row>
    <row r="194" spans="1:6" ht="12.75" customHeight="1" x14ac:dyDescent="0.25">
      <c r="A194" s="2"/>
      <c r="B194" s="2"/>
      <c r="C194" s="2"/>
      <c r="D194" s="2"/>
      <c r="E194" s="2"/>
      <c r="F194" s="2"/>
    </row>
    <row r="195" spans="1:6" ht="12.75" customHeight="1" x14ac:dyDescent="0.25">
      <c r="A195" s="2"/>
      <c r="B195" s="2"/>
      <c r="C195" s="2"/>
      <c r="D195" s="2"/>
      <c r="E195" s="2"/>
      <c r="F195" s="2"/>
    </row>
    <row r="196" spans="1:6" ht="12.75" customHeight="1" x14ac:dyDescent="0.25">
      <c r="A196" s="2"/>
      <c r="B196" s="2"/>
      <c r="C196" s="2"/>
      <c r="D196" s="2"/>
      <c r="E196" s="2"/>
      <c r="F196" s="2"/>
    </row>
    <row r="197" spans="1:6" ht="12.75" customHeight="1" x14ac:dyDescent="0.25">
      <c r="A197" s="2"/>
      <c r="B197" s="2"/>
      <c r="C197" s="2"/>
      <c r="D197" s="2"/>
      <c r="E197" s="2"/>
      <c r="F197" s="2"/>
    </row>
    <row r="198" spans="1:6" ht="12.75" customHeight="1" x14ac:dyDescent="0.25">
      <c r="A198" s="2"/>
      <c r="B198" s="2"/>
      <c r="C198" s="2"/>
      <c r="D198" s="2"/>
      <c r="E198" s="2"/>
      <c r="F198" s="2"/>
    </row>
    <row r="199" spans="1:6" ht="12.75" customHeight="1" x14ac:dyDescent="0.25">
      <c r="A199" s="2"/>
      <c r="B199" s="2"/>
      <c r="C199" s="2"/>
      <c r="D199" s="2"/>
      <c r="E199" s="2"/>
      <c r="F199" s="2"/>
    </row>
    <row r="200" spans="1:6" ht="12.75" customHeight="1" x14ac:dyDescent="0.25">
      <c r="A200" s="2"/>
      <c r="B200" s="2"/>
      <c r="C200" s="2"/>
      <c r="D200" s="2"/>
      <c r="E200" s="2"/>
      <c r="F200" s="2"/>
    </row>
    <row r="201" spans="1:6" ht="12.75" customHeight="1" x14ac:dyDescent="0.25">
      <c r="A201" s="2"/>
      <c r="B201" s="2"/>
      <c r="C201" s="2"/>
      <c r="D201" s="2"/>
      <c r="E201" s="2"/>
      <c r="F201" s="2"/>
    </row>
    <row r="202" spans="1:6" ht="12.75" customHeight="1" x14ac:dyDescent="0.25">
      <c r="A202" s="2"/>
      <c r="B202" s="2"/>
      <c r="C202" s="2"/>
      <c r="D202" s="2"/>
      <c r="E202" s="2"/>
      <c r="F202" s="2"/>
    </row>
    <row r="203" spans="1:6" ht="12.75" customHeight="1" x14ac:dyDescent="0.25">
      <c r="A203" s="2"/>
      <c r="B203" s="2"/>
      <c r="C203" s="2"/>
      <c r="D203" s="2"/>
      <c r="E203" s="2"/>
      <c r="F203" s="2"/>
    </row>
    <row r="204" spans="1:6" ht="12.75" customHeight="1" x14ac:dyDescent="0.25">
      <c r="A204" s="2"/>
      <c r="B204" s="2"/>
      <c r="C204" s="2"/>
      <c r="D204" s="2"/>
      <c r="E204" s="2"/>
      <c r="F204" s="2"/>
    </row>
    <row r="205" spans="1:6" ht="12.75" customHeight="1" x14ac:dyDescent="0.25">
      <c r="A205" s="2"/>
      <c r="B205" s="2"/>
      <c r="C205" s="2"/>
      <c r="D205" s="2"/>
      <c r="E205" s="2"/>
      <c r="F205" s="2"/>
    </row>
    <row r="206" spans="1:6" ht="12.75" customHeight="1" x14ac:dyDescent="0.25">
      <c r="A206" s="2"/>
      <c r="B206" s="2"/>
      <c r="C206" s="2"/>
      <c r="D206" s="2"/>
      <c r="E206" s="2"/>
      <c r="F206" s="2"/>
    </row>
    <row r="207" spans="1:6" ht="12.75" customHeight="1" x14ac:dyDescent="0.25">
      <c r="A207" s="2"/>
      <c r="B207" s="2"/>
      <c r="C207" s="2"/>
      <c r="D207" s="2"/>
      <c r="E207" s="2"/>
      <c r="F207" s="2"/>
    </row>
    <row r="208" spans="1:6" ht="12.75" customHeight="1" x14ac:dyDescent="0.25">
      <c r="A208" s="2"/>
      <c r="B208" s="2"/>
      <c r="C208" s="2"/>
      <c r="D208" s="2"/>
      <c r="E208" s="2"/>
      <c r="F208" s="2"/>
    </row>
    <row r="209" spans="1:6" ht="12.75" customHeight="1" x14ac:dyDescent="0.25">
      <c r="A209" s="2"/>
      <c r="B209" s="2"/>
      <c r="C209" s="2"/>
      <c r="D209" s="2"/>
      <c r="E209" s="2"/>
      <c r="F209" s="2"/>
    </row>
    <row r="210" spans="1:6" ht="12.75" customHeight="1" x14ac:dyDescent="0.25">
      <c r="A210" s="2"/>
      <c r="B210" s="2"/>
      <c r="C210" s="2"/>
      <c r="D210" s="2"/>
      <c r="E210" s="2"/>
      <c r="F210" s="2"/>
    </row>
    <row r="211" spans="1:6" ht="12.75" customHeight="1" x14ac:dyDescent="0.25">
      <c r="A211" s="2"/>
      <c r="B211" s="2"/>
      <c r="C211" s="2"/>
      <c r="D211" s="2"/>
      <c r="E211" s="2"/>
      <c r="F211" s="2"/>
    </row>
    <row r="212" spans="1:6" ht="12.75" customHeight="1" x14ac:dyDescent="0.25">
      <c r="A212" s="2"/>
      <c r="B212" s="2"/>
      <c r="C212" s="2"/>
      <c r="D212" s="2"/>
      <c r="E212" s="2"/>
      <c r="F212" s="2"/>
    </row>
    <row r="213" spans="1:6" ht="12.75" customHeight="1" x14ac:dyDescent="0.25">
      <c r="A213" s="2"/>
      <c r="B213" s="2"/>
      <c r="C213" s="2"/>
      <c r="D213" s="2"/>
      <c r="E213" s="2"/>
      <c r="F213" s="2"/>
    </row>
    <row r="214" spans="1:6" ht="12.75" customHeight="1" x14ac:dyDescent="0.25">
      <c r="A214" s="2"/>
      <c r="B214" s="2"/>
      <c r="C214" s="2"/>
      <c r="D214" s="2"/>
      <c r="E214" s="2"/>
      <c r="F214" s="2"/>
    </row>
    <row r="215" spans="1:6" ht="12.75" customHeight="1" x14ac:dyDescent="0.25">
      <c r="A215" s="2"/>
      <c r="B215" s="2"/>
      <c r="C215" s="2"/>
      <c r="D215" s="2"/>
      <c r="E215" s="2"/>
      <c r="F215" s="2"/>
    </row>
    <row r="216" spans="1:6" ht="12.75" customHeight="1" x14ac:dyDescent="0.25">
      <c r="A216" s="2"/>
      <c r="B216" s="2"/>
      <c r="C216" s="2"/>
      <c r="D216" s="2"/>
      <c r="E216" s="2"/>
      <c r="F216" s="2"/>
    </row>
    <row r="217" spans="1:6" ht="12.75" customHeight="1" x14ac:dyDescent="0.25">
      <c r="A217" s="2"/>
      <c r="B217" s="2"/>
      <c r="C217" s="2"/>
      <c r="D217" s="2"/>
      <c r="E217" s="2"/>
      <c r="F217" s="2"/>
    </row>
    <row r="218" spans="1:6" ht="12.75" customHeight="1" x14ac:dyDescent="0.25">
      <c r="A218" s="2"/>
      <c r="B218" s="2"/>
      <c r="C218" s="2"/>
      <c r="D218" s="2"/>
      <c r="E218" s="2"/>
      <c r="F218" s="2"/>
    </row>
    <row r="219" spans="1:6" ht="12.75" customHeight="1" x14ac:dyDescent="0.25">
      <c r="A219" s="2"/>
      <c r="B219" s="2"/>
      <c r="C219" s="2"/>
      <c r="D219" s="2"/>
      <c r="E219" s="2"/>
      <c r="F219" s="2"/>
    </row>
    <row r="220" spans="1:6" ht="12.75" customHeight="1" x14ac:dyDescent="0.25">
      <c r="A220" s="2"/>
      <c r="B220" s="2"/>
      <c r="C220" s="2"/>
      <c r="D220" s="2"/>
      <c r="E220" s="2"/>
      <c r="F220" s="2"/>
    </row>
    <row r="221" spans="1:6" ht="12.75" customHeight="1" x14ac:dyDescent="0.25">
      <c r="A221" s="2"/>
      <c r="B221" s="2"/>
      <c r="C221" s="2"/>
      <c r="D221" s="2"/>
      <c r="E221" s="2"/>
      <c r="F221" s="2"/>
    </row>
    <row r="222" spans="1:6" ht="12.75" customHeight="1" x14ac:dyDescent="0.25">
      <c r="A222" s="2"/>
      <c r="B222" s="2"/>
      <c r="C222" s="2"/>
      <c r="D222" s="2"/>
      <c r="E222" s="2"/>
      <c r="F222" s="2"/>
    </row>
    <row r="223" spans="1:6" ht="12.75" customHeight="1" x14ac:dyDescent="0.25">
      <c r="A223" s="2"/>
      <c r="B223" s="2"/>
      <c r="C223" s="2"/>
      <c r="D223" s="2"/>
      <c r="E223" s="2"/>
      <c r="F223" s="2"/>
    </row>
    <row r="224" spans="1:6" ht="12.75" customHeight="1" x14ac:dyDescent="0.25">
      <c r="A224" s="2"/>
      <c r="B224" s="2"/>
      <c r="C224" s="2"/>
      <c r="D224" s="2"/>
      <c r="E224" s="2"/>
      <c r="F224" s="2"/>
    </row>
    <row r="225" spans="1:6" ht="12.75" customHeight="1" x14ac:dyDescent="0.25">
      <c r="A225" s="2"/>
      <c r="B225" s="2"/>
      <c r="C225" s="2"/>
      <c r="D225" s="2"/>
      <c r="E225" s="2"/>
      <c r="F225" s="2"/>
    </row>
    <row r="226" spans="1:6" ht="12.75" customHeight="1" x14ac:dyDescent="0.25">
      <c r="A226" s="2"/>
      <c r="B226" s="2"/>
      <c r="C226" s="2"/>
      <c r="D226" s="2"/>
      <c r="E226" s="2"/>
      <c r="F226" s="2"/>
    </row>
    <row r="227" spans="1:6" ht="12.75" customHeight="1" x14ac:dyDescent="0.25">
      <c r="A227" s="2"/>
      <c r="B227" s="2"/>
      <c r="C227" s="2"/>
      <c r="D227" s="2"/>
      <c r="E227" s="2"/>
      <c r="F227" s="2"/>
    </row>
    <row r="228" spans="1:6" ht="12.75" customHeight="1" x14ac:dyDescent="0.25">
      <c r="A228" s="2"/>
      <c r="B228" s="2"/>
      <c r="C228" s="2"/>
      <c r="D228" s="2"/>
      <c r="E228" s="2"/>
      <c r="F228" s="2"/>
    </row>
    <row r="229" spans="1:6" ht="12.75" customHeight="1" x14ac:dyDescent="0.25">
      <c r="A229" s="2"/>
      <c r="B229" s="2"/>
      <c r="C229" s="2"/>
      <c r="D229" s="2"/>
      <c r="E229" s="2"/>
      <c r="F229" s="2"/>
    </row>
    <row r="230" spans="1:6" ht="12.75" customHeight="1" x14ac:dyDescent="0.25">
      <c r="A230" s="2"/>
      <c r="B230" s="2"/>
      <c r="C230" s="2"/>
      <c r="D230" s="2"/>
      <c r="E230" s="2"/>
      <c r="F230" s="2"/>
    </row>
    <row r="231" spans="1:6" ht="12.75" customHeight="1" x14ac:dyDescent="0.25">
      <c r="A231" s="2"/>
      <c r="B231" s="2"/>
      <c r="C231" s="2"/>
      <c r="D231" s="2"/>
      <c r="E231" s="2"/>
      <c r="F231" s="2"/>
    </row>
    <row r="232" spans="1:6" ht="12.75" customHeight="1" x14ac:dyDescent="0.25">
      <c r="A232" s="2"/>
      <c r="B232" s="2"/>
      <c r="C232" s="2"/>
      <c r="D232" s="2"/>
      <c r="E232" s="2"/>
      <c r="F232" s="2"/>
    </row>
    <row r="233" spans="1:6" ht="12.75" customHeight="1" x14ac:dyDescent="0.25">
      <c r="A233" s="2"/>
      <c r="B233" s="2"/>
      <c r="C233" s="2"/>
      <c r="D233" s="2"/>
      <c r="E233" s="2"/>
      <c r="F233" s="2"/>
    </row>
    <row r="234" spans="1:6" ht="12.75" customHeight="1" x14ac:dyDescent="0.25">
      <c r="A234" s="2"/>
      <c r="B234" s="2"/>
      <c r="C234" s="2"/>
      <c r="D234" s="2"/>
      <c r="E234" s="2"/>
      <c r="F234" s="2"/>
    </row>
    <row r="235" spans="1:6" ht="12.75" customHeight="1" x14ac:dyDescent="0.25">
      <c r="A235" s="2"/>
      <c r="B235" s="2"/>
      <c r="C235" s="2"/>
      <c r="D235" s="2"/>
      <c r="E235" s="2"/>
      <c r="F235" s="2"/>
    </row>
    <row r="236" spans="1:6" ht="12.75" customHeight="1" x14ac:dyDescent="0.25">
      <c r="A236" s="2"/>
      <c r="B236" s="2"/>
      <c r="C236" s="2"/>
      <c r="D236" s="2"/>
      <c r="E236" s="2"/>
      <c r="F236" s="2"/>
    </row>
    <row r="237" spans="1:6" ht="12.75" customHeight="1" x14ac:dyDescent="0.25">
      <c r="A237" s="2"/>
      <c r="B237" s="2"/>
      <c r="C237" s="2"/>
      <c r="D237" s="2"/>
      <c r="E237" s="2"/>
      <c r="F237" s="2"/>
    </row>
    <row r="238" spans="1:6" ht="12.75" customHeight="1" x14ac:dyDescent="0.25">
      <c r="A238" s="2"/>
      <c r="B238" s="2"/>
      <c r="C238" s="2"/>
      <c r="D238" s="2"/>
      <c r="E238" s="2"/>
      <c r="F238" s="2"/>
    </row>
    <row r="239" spans="1:6" ht="12.75" customHeight="1" x14ac:dyDescent="0.25">
      <c r="A239" s="2"/>
      <c r="B239" s="2"/>
      <c r="C239" s="2"/>
      <c r="D239" s="2"/>
      <c r="E239" s="2"/>
      <c r="F239" s="2"/>
    </row>
    <row r="240" spans="1:6" ht="12.75" customHeight="1" x14ac:dyDescent="0.25">
      <c r="A240" s="2"/>
      <c r="B240" s="2"/>
      <c r="C240" s="2"/>
      <c r="D240" s="2"/>
      <c r="E240" s="2"/>
      <c r="F240" s="2"/>
    </row>
    <row r="241" spans="1:6" ht="12.75" customHeight="1" x14ac:dyDescent="0.25">
      <c r="A241" s="2"/>
      <c r="B241" s="2"/>
      <c r="C241" s="2"/>
      <c r="D241" s="2"/>
      <c r="E241" s="2"/>
      <c r="F241" s="2"/>
    </row>
    <row r="242" spans="1:6" ht="12.75" customHeight="1" x14ac:dyDescent="0.25">
      <c r="A242" s="2"/>
      <c r="B242" s="2"/>
      <c r="C242" s="2"/>
      <c r="D242" s="2"/>
      <c r="E242" s="2"/>
      <c r="F242" s="2"/>
    </row>
    <row r="243" spans="1:6" ht="12.75" customHeight="1" x14ac:dyDescent="0.25">
      <c r="A243" s="2"/>
      <c r="B243" s="2"/>
      <c r="C243" s="2"/>
      <c r="D243" s="2"/>
      <c r="E243" s="2"/>
      <c r="F243" s="2"/>
    </row>
    <row r="244" spans="1:6" ht="12.75" customHeight="1" x14ac:dyDescent="0.25">
      <c r="A244" s="2"/>
      <c r="B244" s="2"/>
      <c r="C244" s="2"/>
      <c r="D244" s="2"/>
      <c r="E244" s="2"/>
      <c r="F244" s="2"/>
    </row>
    <row r="245" spans="1:6" ht="12.75" customHeight="1" x14ac:dyDescent="0.25">
      <c r="A245" s="2"/>
      <c r="B245" s="2"/>
      <c r="C245" s="2"/>
      <c r="D245" s="2"/>
      <c r="E245" s="2"/>
      <c r="F245" s="2"/>
    </row>
    <row r="246" spans="1:6" ht="12.75" customHeight="1" x14ac:dyDescent="0.25">
      <c r="A246" s="2"/>
      <c r="B246" s="2"/>
      <c r="C246" s="2"/>
      <c r="D246" s="2"/>
      <c r="E246" s="2"/>
      <c r="F246" s="2"/>
    </row>
    <row r="247" spans="1:6" ht="12.75" customHeight="1" x14ac:dyDescent="0.25">
      <c r="A247" s="2"/>
      <c r="B247" s="2"/>
      <c r="C247" s="2"/>
      <c r="D247" s="2"/>
      <c r="E247" s="2"/>
      <c r="F247" s="2"/>
    </row>
    <row r="248" spans="1:6" ht="12.75" customHeight="1" x14ac:dyDescent="0.25">
      <c r="A248" s="2"/>
      <c r="B248" s="2"/>
      <c r="C248" s="2"/>
      <c r="D248" s="2"/>
      <c r="E248" s="2"/>
      <c r="F248" s="2"/>
    </row>
    <row r="249" spans="1:6" ht="12.75" customHeight="1" x14ac:dyDescent="0.25">
      <c r="A249" s="2"/>
      <c r="B249" s="2"/>
      <c r="C249" s="2"/>
      <c r="D249" s="2"/>
      <c r="E249" s="2"/>
      <c r="F249" s="2"/>
    </row>
    <row r="250" spans="1:6" ht="12.75" customHeight="1" x14ac:dyDescent="0.25">
      <c r="A250" s="2"/>
      <c r="B250" s="2"/>
      <c r="C250" s="2"/>
      <c r="D250" s="2"/>
      <c r="E250" s="2"/>
      <c r="F250" s="2"/>
    </row>
    <row r="251" spans="1:6" ht="12.75" customHeight="1" x14ac:dyDescent="0.25">
      <c r="A251" s="2"/>
      <c r="B251" s="2"/>
      <c r="C251" s="2"/>
      <c r="D251" s="2"/>
      <c r="E251" s="2"/>
      <c r="F251" s="2"/>
    </row>
    <row r="252" spans="1:6" ht="12.75" customHeight="1" x14ac:dyDescent="0.25">
      <c r="A252" s="2"/>
      <c r="B252" s="2"/>
      <c r="C252" s="2"/>
      <c r="D252" s="2"/>
      <c r="E252" s="2"/>
      <c r="F252" s="2"/>
    </row>
    <row r="253" spans="1:6" ht="12.75" customHeight="1" x14ac:dyDescent="0.25">
      <c r="A253" s="2"/>
      <c r="B253" s="2"/>
      <c r="C253" s="2"/>
      <c r="D253" s="2"/>
      <c r="E253" s="2"/>
      <c r="F253" s="2"/>
    </row>
    <row r="254" spans="1:6" ht="12.75" customHeight="1" x14ac:dyDescent="0.25">
      <c r="A254" s="2"/>
      <c r="B254" s="2"/>
      <c r="C254" s="2"/>
      <c r="D254" s="2"/>
      <c r="E254" s="2"/>
      <c r="F254" s="2"/>
    </row>
    <row r="255" spans="1:6" ht="12.75" customHeight="1" x14ac:dyDescent="0.25">
      <c r="A255" s="2"/>
      <c r="B255" s="2"/>
      <c r="C255" s="2"/>
      <c r="D255" s="2"/>
      <c r="E255" s="2"/>
      <c r="F255" s="2"/>
    </row>
    <row r="256" spans="1:6" ht="12.75" customHeight="1" x14ac:dyDescent="0.25">
      <c r="A256" s="2"/>
      <c r="B256" s="2"/>
      <c r="C256" s="2"/>
      <c r="D256" s="2"/>
      <c r="E256" s="2"/>
      <c r="F256" s="2"/>
    </row>
    <row r="257" spans="1:6" ht="12.75" customHeight="1" x14ac:dyDescent="0.25">
      <c r="A257" s="2"/>
      <c r="B257" s="2"/>
      <c r="C257" s="2"/>
      <c r="D257" s="2"/>
      <c r="E257" s="2"/>
      <c r="F257" s="2"/>
    </row>
    <row r="258" spans="1:6" ht="12.75" customHeight="1" x14ac:dyDescent="0.25">
      <c r="A258" s="2"/>
      <c r="B258" s="2"/>
      <c r="C258" s="2"/>
      <c r="D258" s="2"/>
      <c r="E258" s="2"/>
      <c r="F258" s="2"/>
    </row>
    <row r="259" spans="1:6" ht="12.75" customHeight="1" x14ac:dyDescent="0.25">
      <c r="A259" s="2"/>
      <c r="B259" s="2"/>
      <c r="C259" s="2"/>
      <c r="D259" s="2"/>
      <c r="E259" s="2"/>
      <c r="F259" s="2"/>
    </row>
    <row r="260" spans="1:6" ht="12.75" customHeight="1" x14ac:dyDescent="0.25">
      <c r="A260" s="2"/>
      <c r="B260" s="2"/>
      <c r="C260" s="2"/>
      <c r="D260" s="2"/>
      <c r="E260" s="2"/>
      <c r="F260" s="2"/>
    </row>
    <row r="261" spans="1:6" ht="12.75" customHeight="1" x14ac:dyDescent="0.25">
      <c r="A261" s="2"/>
      <c r="B261" s="2"/>
      <c r="C261" s="2"/>
      <c r="D261" s="2"/>
      <c r="E261" s="2"/>
      <c r="F261" s="2"/>
    </row>
    <row r="262" spans="1:6" ht="12.75" customHeight="1" x14ac:dyDescent="0.25">
      <c r="A262" s="2"/>
      <c r="B262" s="2"/>
      <c r="C262" s="2"/>
      <c r="D262" s="2"/>
      <c r="E262" s="2"/>
      <c r="F262" s="2"/>
    </row>
    <row r="263" spans="1:6" ht="12.75" customHeight="1" x14ac:dyDescent="0.25">
      <c r="A263" s="2"/>
      <c r="B263" s="2"/>
      <c r="C263" s="2"/>
      <c r="D263" s="2"/>
      <c r="E263" s="2"/>
      <c r="F263" s="2"/>
    </row>
    <row r="264" spans="1:6" ht="12.75" customHeight="1" x14ac:dyDescent="0.25">
      <c r="A264" s="2"/>
      <c r="B264" s="2"/>
      <c r="C264" s="2"/>
      <c r="D264" s="2"/>
      <c r="E264" s="2"/>
      <c r="F264" s="2"/>
    </row>
    <row r="265" spans="1:6" ht="12.75" customHeight="1" x14ac:dyDescent="0.25">
      <c r="A265" s="2"/>
      <c r="B265" s="2"/>
      <c r="C265" s="2"/>
      <c r="D265" s="2"/>
      <c r="E265" s="2"/>
      <c r="F265" s="2"/>
    </row>
    <row r="266" spans="1:6" ht="12.75" customHeight="1" x14ac:dyDescent="0.25">
      <c r="A266" s="2"/>
      <c r="B266" s="2"/>
      <c r="C266" s="2"/>
      <c r="D266" s="2"/>
      <c r="E266" s="2"/>
      <c r="F266" s="2"/>
    </row>
    <row r="267" spans="1:6" ht="12.75" customHeight="1" x14ac:dyDescent="0.25">
      <c r="A267" s="2"/>
      <c r="B267" s="2"/>
      <c r="C267" s="2"/>
      <c r="D267" s="2"/>
      <c r="E267" s="2"/>
      <c r="F267" s="2"/>
    </row>
    <row r="268" spans="1:6" ht="12.75" customHeight="1" x14ac:dyDescent="0.25">
      <c r="A268" s="2"/>
      <c r="B268" s="2"/>
      <c r="C268" s="2"/>
      <c r="D268" s="2"/>
      <c r="E268" s="2"/>
      <c r="F268" s="2"/>
    </row>
    <row r="269" spans="1:6" ht="12.75" customHeight="1" x14ac:dyDescent="0.25">
      <c r="A269" s="2"/>
      <c r="B269" s="2"/>
      <c r="C269" s="2"/>
      <c r="D269" s="2"/>
      <c r="E269" s="2"/>
      <c r="F269" s="2"/>
    </row>
    <row r="270" spans="1:6" ht="12.75" customHeight="1" x14ac:dyDescent="0.25">
      <c r="A270" s="2"/>
      <c r="B270" s="2"/>
      <c r="C270" s="2"/>
      <c r="D270" s="2"/>
      <c r="E270" s="2"/>
      <c r="F270" s="2"/>
    </row>
    <row r="271" spans="1:6" ht="12.75" customHeight="1" x14ac:dyDescent="0.25">
      <c r="A271" s="2"/>
      <c r="B271" s="2"/>
      <c r="C271" s="2"/>
      <c r="D271" s="2"/>
      <c r="E271" s="2"/>
      <c r="F271" s="2"/>
    </row>
    <row r="272" spans="1:6" ht="12.75" customHeight="1" x14ac:dyDescent="0.25">
      <c r="A272" s="2"/>
      <c r="B272" s="2"/>
      <c r="C272" s="2"/>
      <c r="D272" s="2"/>
      <c r="E272" s="2"/>
      <c r="F272" s="2"/>
    </row>
    <row r="273" spans="1:6" ht="12.75" customHeight="1" x14ac:dyDescent="0.25">
      <c r="A273" s="2"/>
      <c r="B273" s="2"/>
      <c r="C273" s="2"/>
      <c r="D273" s="2"/>
      <c r="E273" s="2"/>
      <c r="F273" s="2"/>
    </row>
    <row r="274" spans="1:6" ht="12.75" customHeight="1" x14ac:dyDescent="0.25">
      <c r="A274" s="2"/>
      <c r="B274" s="2"/>
      <c r="C274" s="2"/>
      <c r="D274" s="2"/>
      <c r="E274" s="2"/>
      <c r="F274" s="2"/>
    </row>
    <row r="275" spans="1:6" ht="12.75" customHeight="1" x14ac:dyDescent="0.25">
      <c r="A275" s="2"/>
      <c r="B275" s="2"/>
      <c r="C275" s="2"/>
      <c r="D275" s="2"/>
      <c r="E275" s="2"/>
      <c r="F275" s="2"/>
    </row>
    <row r="276" spans="1:6" ht="12.75" customHeight="1" x14ac:dyDescent="0.25">
      <c r="A276" s="2"/>
      <c r="B276" s="2"/>
      <c r="C276" s="2"/>
      <c r="D276" s="2"/>
      <c r="E276" s="2"/>
      <c r="F276" s="2"/>
    </row>
    <row r="277" spans="1:6" ht="12.75" customHeight="1" x14ac:dyDescent="0.25">
      <c r="A277" s="2"/>
      <c r="B277" s="2"/>
      <c r="C277" s="2"/>
      <c r="D277" s="2"/>
      <c r="E277" s="2"/>
      <c r="F277" s="2"/>
    </row>
    <row r="278" spans="1:6" ht="12.75" customHeight="1" x14ac:dyDescent="0.25">
      <c r="A278" s="2"/>
      <c r="B278" s="2"/>
      <c r="C278" s="2"/>
      <c r="D278" s="2"/>
      <c r="E278" s="2"/>
      <c r="F278" s="2"/>
    </row>
    <row r="279" spans="1:6" ht="12.75" customHeight="1" x14ac:dyDescent="0.25">
      <c r="A279" s="2"/>
      <c r="B279" s="2"/>
      <c r="C279" s="2"/>
      <c r="D279" s="2"/>
      <c r="E279" s="2"/>
      <c r="F279" s="2"/>
    </row>
    <row r="280" spans="1:6" ht="12.75" customHeight="1" x14ac:dyDescent="0.25">
      <c r="A280" s="2"/>
      <c r="B280" s="2"/>
      <c r="C280" s="2"/>
      <c r="D280" s="2"/>
      <c r="E280" s="2"/>
      <c r="F280" s="2"/>
    </row>
    <row r="281" spans="1:6" ht="12.75" customHeight="1" x14ac:dyDescent="0.25">
      <c r="A281" s="2"/>
      <c r="B281" s="2"/>
      <c r="C281" s="2"/>
      <c r="D281" s="2"/>
      <c r="E281" s="2"/>
      <c r="F281" s="2"/>
    </row>
    <row r="282" spans="1:6" ht="12.75" customHeight="1" x14ac:dyDescent="0.25">
      <c r="A282" s="2"/>
      <c r="B282" s="2"/>
      <c r="C282" s="2"/>
      <c r="D282" s="2"/>
      <c r="E282" s="2"/>
      <c r="F282" s="2"/>
    </row>
    <row r="283" spans="1:6" ht="12.75" customHeight="1" x14ac:dyDescent="0.25">
      <c r="A283" s="2"/>
      <c r="B283" s="2"/>
      <c r="C283" s="2"/>
      <c r="D283" s="2"/>
      <c r="E283" s="2"/>
      <c r="F283" s="2"/>
    </row>
    <row r="284" spans="1:6" ht="12.75" customHeight="1" x14ac:dyDescent="0.25">
      <c r="A284" s="2"/>
      <c r="B284" s="2"/>
      <c r="C284" s="2"/>
      <c r="D284" s="2"/>
      <c r="E284" s="2"/>
      <c r="F284" s="2"/>
    </row>
    <row r="285" spans="1:6" ht="12.75" customHeight="1" x14ac:dyDescent="0.25">
      <c r="A285" s="2"/>
      <c r="B285" s="2"/>
      <c r="C285" s="2"/>
      <c r="D285" s="2"/>
      <c r="E285" s="2"/>
      <c r="F285" s="2"/>
    </row>
    <row r="286" spans="1:6" ht="12.75" customHeight="1" x14ac:dyDescent="0.25">
      <c r="A286" s="2"/>
      <c r="B286" s="2"/>
      <c r="C286" s="2"/>
      <c r="D286" s="2"/>
      <c r="E286" s="2"/>
      <c r="F286" s="2"/>
    </row>
    <row r="287" spans="1:6" ht="12.75" customHeight="1" x14ac:dyDescent="0.25">
      <c r="A287" s="2"/>
      <c r="B287" s="2"/>
      <c r="C287" s="2"/>
      <c r="D287" s="2"/>
      <c r="E287" s="2"/>
      <c r="F287" s="2"/>
    </row>
    <row r="288" spans="1:6" ht="12.75" customHeight="1" x14ac:dyDescent="0.25">
      <c r="A288" s="2"/>
      <c r="B288" s="2"/>
      <c r="C288" s="2"/>
      <c r="D288" s="2"/>
      <c r="E288" s="2"/>
      <c r="F288" s="2"/>
    </row>
    <row r="289" spans="1:6" ht="12.75" customHeight="1" x14ac:dyDescent="0.25">
      <c r="A289" s="2"/>
      <c r="B289" s="2"/>
      <c r="C289" s="2"/>
      <c r="D289" s="2"/>
      <c r="E289" s="2"/>
      <c r="F289" s="2"/>
    </row>
    <row r="290" spans="1:6" ht="12.75" customHeight="1" x14ac:dyDescent="0.25">
      <c r="A290" s="2"/>
      <c r="B290" s="2"/>
      <c r="C290" s="2"/>
      <c r="D290" s="2"/>
      <c r="E290" s="2"/>
      <c r="F290" s="2"/>
    </row>
    <row r="291" spans="1:6" ht="12.75" customHeight="1" x14ac:dyDescent="0.25">
      <c r="A291" s="2"/>
      <c r="B291" s="2"/>
      <c r="C291" s="2"/>
      <c r="D291" s="2"/>
      <c r="E291" s="2"/>
      <c r="F291" s="2"/>
    </row>
    <row r="292" spans="1:6" ht="12.75" customHeight="1" x14ac:dyDescent="0.25">
      <c r="A292" s="2"/>
      <c r="B292" s="2"/>
      <c r="C292" s="2"/>
      <c r="D292" s="2"/>
      <c r="E292" s="2"/>
      <c r="F292" s="2"/>
    </row>
    <row r="293" spans="1:6" ht="12.75" customHeight="1" x14ac:dyDescent="0.25">
      <c r="A293" s="2"/>
      <c r="B293" s="2"/>
      <c r="C293" s="2"/>
      <c r="D293" s="2"/>
      <c r="E293" s="2"/>
      <c r="F293" s="2"/>
    </row>
    <row r="294" spans="1:6" ht="12.75" customHeight="1" x14ac:dyDescent="0.25">
      <c r="A294" s="2"/>
      <c r="B294" s="2"/>
      <c r="C294" s="2"/>
      <c r="D294" s="2"/>
      <c r="E294" s="2"/>
      <c r="F294" s="2"/>
    </row>
    <row r="295" spans="1:6" ht="12.75" customHeight="1" x14ac:dyDescent="0.25">
      <c r="A295" s="2"/>
      <c r="B295" s="2"/>
      <c r="C295" s="2"/>
      <c r="D295" s="2"/>
      <c r="E295" s="2"/>
      <c r="F295" s="2"/>
    </row>
    <row r="296" spans="1:6" ht="12.75" customHeight="1" x14ac:dyDescent="0.25">
      <c r="A296" s="2"/>
      <c r="B296" s="2"/>
      <c r="C296" s="2"/>
      <c r="D296" s="2"/>
      <c r="E296" s="2"/>
      <c r="F296" s="2"/>
    </row>
    <row r="297" spans="1:6" ht="12.75" customHeight="1" x14ac:dyDescent="0.25">
      <c r="A297" s="2"/>
      <c r="B297" s="2"/>
      <c r="C297" s="2"/>
      <c r="D297" s="2"/>
      <c r="E297" s="2"/>
      <c r="F297" s="2"/>
    </row>
    <row r="298" spans="1:6" ht="12.75" customHeight="1" x14ac:dyDescent="0.25">
      <c r="A298" s="2"/>
      <c r="B298" s="2"/>
      <c r="C298" s="2"/>
      <c r="D298" s="2"/>
      <c r="E298" s="2"/>
      <c r="F298" s="2"/>
    </row>
    <row r="299" spans="1:6" ht="12.75" customHeight="1" x14ac:dyDescent="0.25">
      <c r="A299" s="2"/>
      <c r="B299" s="2"/>
      <c r="C299" s="2"/>
      <c r="D299" s="2"/>
      <c r="E299" s="2"/>
      <c r="F299" s="2"/>
    </row>
    <row r="300" spans="1:6" ht="12.75" customHeight="1" x14ac:dyDescent="0.25">
      <c r="A300" s="2"/>
      <c r="B300" s="2"/>
      <c r="C300" s="2"/>
      <c r="D300" s="2"/>
      <c r="E300" s="2"/>
      <c r="F300" s="2"/>
    </row>
    <row r="301" spans="1:6" ht="12.75" customHeight="1" x14ac:dyDescent="0.25">
      <c r="A301" s="2"/>
      <c r="B301" s="2"/>
      <c r="C301" s="2"/>
      <c r="D301" s="2"/>
      <c r="E301" s="2"/>
      <c r="F301" s="2"/>
    </row>
    <row r="302" spans="1:6" ht="12.75" customHeight="1" x14ac:dyDescent="0.25">
      <c r="A302" s="2"/>
      <c r="B302" s="2"/>
      <c r="C302" s="2"/>
      <c r="D302" s="2"/>
      <c r="E302" s="2"/>
      <c r="F302" s="2"/>
    </row>
    <row r="303" spans="1:6" ht="12.75" customHeight="1" x14ac:dyDescent="0.25">
      <c r="A303" s="2"/>
      <c r="B303" s="2"/>
      <c r="C303" s="2"/>
      <c r="D303" s="2"/>
      <c r="E303" s="2"/>
      <c r="F303" s="2"/>
    </row>
    <row r="304" spans="1:6" ht="12.75" customHeight="1" x14ac:dyDescent="0.25">
      <c r="A304" s="2"/>
      <c r="B304" s="2"/>
      <c r="C304" s="2"/>
      <c r="D304" s="2"/>
      <c r="E304" s="2"/>
      <c r="F304" s="2"/>
    </row>
    <row r="305" spans="1:6" ht="12.75" customHeight="1" x14ac:dyDescent="0.25">
      <c r="A305" s="2"/>
      <c r="B305" s="2"/>
      <c r="C305" s="2"/>
      <c r="D305" s="2"/>
      <c r="E305" s="2"/>
      <c r="F305" s="2"/>
    </row>
    <row r="306" spans="1:6" ht="12.75" customHeight="1" x14ac:dyDescent="0.25">
      <c r="A306" s="2"/>
      <c r="B306" s="2"/>
      <c r="C306" s="2"/>
      <c r="D306" s="2"/>
      <c r="E306" s="2"/>
      <c r="F306" s="2"/>
    </row>
    <row r="307" spans="1:6" ht="12.75" customHeight="1" x14ac:dyDescent="0.25">
      <c r="A307" s="2"/>
      <c r="B307" s="2"/>
      <c r="C307" s="2"/>
      <c r="D307" s="2"/>
      <c r="E307" s="2"/>
      <c r="F307" s="2"/>
    </row>
    <row r="308" spans="1:6" ht="12.75" customHeight="1" x14ac:dyDescent="0.25">
      <c r="A308" s="2"/>
      <c r="B308" s="2"/>
      <c r="C308" s="2"/>
      <c r="D308" s="2"/>
      <c r="E308" s="2"/>
      <c r="F308" s="2"/>
    </row>
    <row r="309" spans="1:6" ht="12.75" customHeight="1" x14ac:dyDescent="0.25">
      <c r="A309" s="2"/>
      <c r="B309" s="2"/>
      <c r="C309" s="2"/>
      <c r="D309" s="2"/>
      <c r="E309" s="2"/>
      <c r="F309" s="2"/>
    </row>
    <row r="310" spans="1:6" ht="12.75" customHeight="1" x14ac:dyDescent="0.25">
      <c r="A310" s="2"/>
      <c r="B310" s="2"/>
      <c r="C310" s="2"/>
      <c r="D310" s="2"/>
      <c r="E310" s="2"/>
      <c r="F310" s="2"/>
    </row>
    <row r="311" spans="1:6" ht="12.75" customHeight="1" x14ac:dyDescent="0.25">
      <c r="A311" s="2"/>
      <c r="B311" s="2"/>
      <c r="C311" s="2"/>
      <c r="D311" s="2"/>
      <c r="E311" s="2"/>
      <c r="F311" s="2"/>
    </row>
    <row r="312" spans="1:6" ht="12.75" customHeight="1" x14ac:dyDescent="0.25">
      <c r="A312" s="2"/>
      <c r="B312" s="2"/>
      <c r="C312" s="2"/>
      <c r="D312" s="2"/>
      <c r="E312" s="2"/>
      <c r="F312" s="2"/>
    </row>
    <row r="313" spans="1:6" ht="12.75" customHeight="1" x14ac:dyDescent="0.25">
      <c r="A313" s="2"/>
      <c r="B313" s="2"/>
      <c r="C313" s="2"/>
      <c r="D313" s="2"/>
      <c r="E313" s="2"/>
      <c r="F313" s="2"/>
    </row>
    <row r="314" spans="1:6" ht="12.75" customHeight="1" x14ac:dyDescent="0.25">
      <c r="A314" s="2"/>
      <c r="B314" s="2"/>
      <c r="C314" s="2"/>
      <c r="D314" s="2"/>
      <c r="E314" s="2"/>
      <c r="F314" s="2"/>
    </row>
    <row r="315" spans="1:6" ht="12.75" customHeight="1" x14ac:dyDescent="0.25">
      <c r="A315" s="2"/>
      <c r="B315" s="2"/>
      <c r="C315" s="2"/>
      <c r="D315" s="2"/>
      <c r="E315" s="2"/>
      <c r="F315" s="2"/>
    </row>
    <row r="316" spans="1:6" ht="12.75" customHeight="1" x14ac:dyDescent="0.25">
      <c r="A316" s="2"/>
      <c r="B316" s="2"/>
      <c r="C316" s="2"/>
      <c r="D316" s="2"/>
      <c r="E316" s="2"/>
      <c r="F316" s="2"/>
    </row>
    <row r="317" spans="1:6" ht="12.75" customHeight="1" x14ac:dyDescent="0.25">
      <c r="A317" s="2"/>
      <c r="B317" s="2"/>
      <c r="C317" s="2"/>
      <c r="D317" s="2"/>
      <c r="E317" s="2"/>
      <c r="F317" s="2"/>
    </row>
    <row r="318" spans="1:6" ht="12.75" customHeight="1" x14ac:dyDescent="0.25">
      <c r="A318" s="2"/>
      <c r="B318" s="2"/>
      <c r="C318" s="2"/>
      <c r="D318" s="2"/>
      <c r="E318" s="2"/>
      <c r="F318" s="2"/>
    </row>
    <row r="319" spans="1:6" ht="12.75" customHeight="1" x14ac:dyDescent="0.25">
      <c r="A319" s="2"/>
      <c r="B319" s="2"/>
      <c r="C319" s="2"/>
      <c r="D319" s="2"/>
      <c r="E319" s="2"/>
      <c r="F319" s="2"/>
    </row>
    <row r="320" spans="1:6" ht="12.75" customHeight="1" x14ac:dyDescent="0.25">
      <c r="A320" s="2"/>
      <c r="B320" s="2"/>
      <c r="C320" s="2"/>
      <c r="D320" s="2"/>
      <c r="E320" s="2"/>
      <c r="F320" s="2"/>
    </row>
    <row r="321" spans="1:6" ht="12.75" customHeight="1" x14ac:dyDescent="0.25">
      <c r="A321" s="2"/>
      <c r="B321" s="2"/>
      <c r="C321" s="2"/>
      <c r="D321" s="2"/>
      <c r="E321" s="2"/>
      <c r="F321" s="2"/>
    </row>
    <row r="322" spans="1:6" ht="12.75" customHeight="1" x14ac:dyDescent="0.25">
      <c r="A322" s="2"/>
      <c r="B322" s="2"/>
      <c r="C322" s="2"/>
      <c r="D322" s="2"/>
      <c r="E322" s="2"/>
      <c r="F322" s="2"/>
    </row>
    <row r="323" spans="1:6" ht="12.75" customHeight="1" x14ac:dyDescent="0.25">
      <c r="A323" s="2"/>
      <c r="B323" s="2"/>
      <c r="C323" s="2"/>
      <c r="D323" s="2"/>
      <c r="E323" s="2"/>
      <c r="F323" s="2"/>
    </row>
    <row r="324" spans="1:6" ht="12.75" customHeight="1" x14ac:dyDescent="0.25">
      <c r="A324" s="2"/>
      <c r="B324" s="2"/>
      <c r="C324" s="2"/>
      <c r="D324" s="2"/>
      <c r="E324" s="2"/>
      <c r="F324" s="2"/>
    </row>
    <row r="325" spans="1:6" ht="12.75" customHeight="1" x14ac:dyDescent="0.25">
      <c r="A325" s="2"/>
      <c r="B325" s="2"/>
      <c r="C325" s="2"/>
      <c r="D325" s="2"/>
      <c r="E325" s="2"/>
      <c r="F325" s="2"/>
    </row>
    <row r="326" spans="1:6" ht="12.75" customHeight="1" x14ac:dyDescent="0.25">
      <c r="A326" s="2"/>
      <c r="B326" s="2"/>
      <c r="C326" s="2"/>
      <c r="D326" s="2"/>
      <c r="E326" s="2"/>
      <c r="F326" s="2"/>
    </row>
    <row r="327" spans="1:6" ht="12.75" customHeight="1" x14ac:dyDescent="0.25">
      <c r="A327" s="2"/>
      <c r="B327" s="2"/>
      <c r="C327" s="2"/>
      <c r="D327" s="2"/>
      <c r="E327" s="2"/>
      <c r="F327" s="2"/>
    </row>
    <row r="328" spans="1:6" ht="12.75" customHeight="1" x14ac:dyDescent="0.25">
      <c r="A328" s="2"/>
      <c r="B328" s="2"/>
      <c r="C328" s="2"/>
      <c r="D328" s="2"/>
      <c r="E328" s="2"/>
      <c r="F328" s="2"/>
    </row>
    <row r="329" spans="1:6" ht="12.75" customHeight="1" x14ac:dyDescent="0.25">
      <c r="A329" s="2"/>
      <c r="B329" s="2"/>
      <c r="C329" s="2"/>
      <c r="D329" s="2"/>
      <c r="E329" s="2"/>
      <c r="F329" s="2"/>
    </row>
    <row r="330" spans="1:6" ht="12.75" customHeight="1" x14ac:dyDescent="0.25">
      <c r="A330" s="2"/>
      <c r="B330" s="2"/>
      <c r="C330" s="2"/>
      <c r="D330" s="2"/>
      <c r="E330" s="2"/>
      <c r="F330" s="2"/>
    </row>
    <row r="331" spans="1:6" ht="12.75" customHeight="1" x14ac:dyDescent="0.25">
      <c r="A331" s="2"/>
      <c r="B331" s="2"/>
      <c r="C331" s="2"/>
      <c r="D331" s="2"/>
      <c r="E331" s="2"/>
      <c r="F331" s="2"/>
    </row>
    <row r="332" spans="1:6" ht="12.75" customHeight="1" x14ac:dyDescent="0.25">
      <c r="A332" s="2"/>
      <c r="B332" s="2"/>
      <c r="C332" s="2"/>
      <c r="D332" s="2"/>
      <c r="E332" s="2"/>
      <c r="F332" s="2"/>
    </row>
    <row r="333" spans="1:6" ht="12.75" customHeight="1" x14ac:dyDescent="0.25">
      <c r="A333" s="2"/>
      <c r="B333" s="2"/>
      <c r="C333" s="2"/>
      <c r="D333" s="2"/>
      <c r="E333" s="2"/>
      <c r="F333" s="2"/>
    </row>
    <row r="334" spans="1:6" ht="12.75" customHeight="1" x14ac:dyDescent="0.25">
      <c r="A334" s="2"/>
      <c r="B334" s="2"/>
      <c r="C334" s="2"/>
      <c r="D334" s="2"/>
      <c r="E334" s="2"/>
      <c r="F334" s="2"/>
    </row>
    <row r="335" spans="1:6" ht="12.75" customHeight="1" x14ac:dyDescent="0.25">
      <c r="A335" s="2"/>
      <c r="B335" s="2"/>
      <c r="C335" s="2"/>
      <c r="D335" s="2"/>
      <c r="E335" s="2"/>
      <c r="F335" s="2"/>
    </row>
    <row r="336" spans="1:6" ht="12.75" customHeight="1" x14ac:dyDescent="0.25">
      <c r="A336" s="2"/>
      <c r="B336" s="2"/>
      <c r="C336" s="2"/>
      <c r="D336" s="2"/>
      <c r="E336" s="2"/>
      <c r="F336" s="2"/>
    </row>
    <row r="337" spans="1:6" ht="12.75" customHeight="1" x14ac:dyDescent="0.25">
      <c r="A337" s="2"/>
      <c r="B337" s="2"/>
      <c r="C337" s="2"/>
      <c r="D337" s="2"/>
      <c r="E337" s="2"/>
      <c r="F337" s="2"/>
    </row>
    <row r="338" spans="1:6" ht="12.75" customHeight="1" x14ac:dyDescent="0.25">
      <c r="A338" s="2"/>
      <c r="B338" s="2"/>
      <c r="C338" s="2"/>
      <c r="D338" s="2"/>
      <c r="E338" s="2"/>
      <c r="F338" s="2"/>
    </row>
    <row r="339" spans="1:6" ht="12.75" customHeight="1" x14ac:dyDescent="0.25">
      <c r="A339" s="2"/>
      <c r="B339" s="2"/>
      <c r="C339" s="2"/>
      <c r="D339" s="2"/>
      <c r="E339" s="2"/>
      <c r="F339" s="2"/>
    </row>
    <row r="340" spans="1:6" ht="12.75" customHeight="1" x14ac:dyDescent="0.25">
      <c r="A340" s="2"/>
      <c r="B340" s="2"/>
      <c r="C340" s="2"/>
      <c r="D340" s="2"/>
      <c r="E340" s="2"/>
      <c r="F340" s="2"/>
    </row>
    <row r="341" spans="1:6" ht="12.75" customHeight="1" x14ac:dyDescent="0.25">
      <c r="A341" s="2"/>
      <c r="B341" s="2"/>
      <c r="C341" s="2"/>
      <c r="D341" s="2"/>
      <c r="E341" s="2"/>
      <c r="F341" s="2"/>
    </row>
    <row r="342" spans="1:6" ht="12.75" customHeight="1" x14ac:dyDescent="0.25">
      <c r="A342" s="2"/>
      <c r="B342" s="2"/>
      <c r="C342" s="2"/>
      <c r="D342" s="2"/>
      <c r="E342" s="2"/>
      <c r="F342" s="2"/>
    </row>
    <row r="343" spans="1:6" ht="12.75" customHeight="1" x14ac:dyDescent="0.25">
      <c r="A343" s="2"/>
      <c r="B343" s="2"/>
      <c r="C343" s="2"/>
      <c r="D343" s="2"/>
      <c r="E343" s="2"/>
      <c r="F343" s="2"/>
    </row>
    <row r="344" spans="1:6" ht="12.75" customHeight="1" x14ac:dyDescent="0.25">
      <c r="A344" s="2"/>
      <c r="B344" s="2"/>
      <c r="C344" s="2"/>
      <c r="D344" s="2"/>
      <c r="E344" s="2"/>
      <c r="F344" s="2"/>
    </row>
    <row r="345" spans="1:6" ht="12.75" customHeight="1" x14ac:dyDescent="0.25">
      <c r="A345" s="2"/>
      <c r="B345" s="2"/>
      <c r="C345" s="2"/>
      <c r="D345" s="2"/>
      <c r="E345" s="2"/>
      <c r="F345" s="2"/>
    </row>
    <row r="346" spans="1:6" ht="12.75" customHeight="1" x14ac:dyDescent="0.25">
      <c r="A346" s="2"/>
      <c r="B346" s="2"/>
      <c r="C346" s="2"/>
      <c r="D346" s="2"/>
      <c r="E346" s="2"/>
      <c r="F346" s="2"/>
    </row>
    <row r="347" spans="1:6" ht="12.75" customHeight="1" x14ac:dyDescent="0.25">
      <c r="A347" s="2"/>
      <c r="B347" s="2"/>
      <c r="C347" s="2"/>
      <c r="D347" s="2"/>
      <c r="E347" s="2"/>
      <c r="F347" s="2"/>
    </row>
    <row r="348" spans="1:6" ht="12.75" customHeight="1" x14ac:dyDescent="0.25">
      <c r="A348" s="2"/>
      <c r="B348" s="2"/>
      <c r="C348" s="2"/>
      <c r="D348" s="2"/>
      <c r="E348" s="2"/>
      <c r="F348" s="2"/>
    </row>
    <row r="349" spans="1:6" ht="12.75" customHeight="1" x14ac:dyDescent="0.25">
      <c r="A349" s="2"/>
      <c r="B349" s="2"/>
      <c r="C349" s="2"/>
      <c r="D349" s="2"/>
      <c r="E349" s="2"/>
      <c r="F349" s="2"/>
    </row>
    <row r="350" spans="1:6" ht="12.75" customHeight="1" x14ac:dyDescent="0.25">
      <c r="A350" s="2"/>
      <c r="B350" s="2"/>
      <c r="C350" s="2"/>
      <c r="D350" s="2"/>
      <c r="E350" s="2"/>
      <c r="F350" s="2"/>
    </row>
    <row r="351" spans="1:6" ht="12.75" customHeight="1" x14ac:dyDescent="0.25">
      <c r="A351" s="2"/>
      <c r="B351" s="2"/>
      <c r="C351" s="2"/>
      <c r="D351" s="2"/>
      <c r="E351" s="2"/>
      <c r="F351" s="2"/>
    </row>
    <row r="352" spans="1:6" ht="12.75" customHeight="1" x14ac:dyDescent="0.25">
      <c r="A352" s="2"/>
      <c r="B352" s="2"/>
      <c r="C352" s="2"/>
      <c r="D352" s="2"/>
      <c r="E352" s="2"/>
      <c r="F352" s="2"/>
    </row>
    <row r="353" spans="1:6" ht="12.75" customHeight="1" x14ac:dyDescent="0.25">
      <c r="A353" s="2"/>
      <c r="B353" s="2"/>
      <c r="C353" s="2"/>
      <c r="D353" s="2"/>
      <c r="E353" s="2"/>
      <c r="F353" s="2"/>
    </row>
    <row r="354" spans="1:6" ht="12.75" customHeight="1" x14ac:dyDescent="0.25">
      <c r="A354" s="2"/>
      <c r="B354" s="2"/>
      <c r="C354" s="2"/>
      <c r="D354" s="2"/>
      <c r="E354" s="2"/>
      <c r="F354" s="2"/>
    </row>
    <row r="355" spans="1:6" ht="12.75" customHeight="1" x14ac:dyDescent="0.25">
      <c r="A355" s="2"/>
      <c r="B355" s="2"/>
      <c r="C355" s="2"/>
      <c r="D355" s="2"/>
      <c r="E355" s="2"/>
      <c r="F355" s="2"/>
    </row>
    <row r="356" spans="1:6" ht="12.75" customHeight="1" x14ac:dyDescent="0.25">
      <c r="A356" s="2"/>
      <c r="B356" s="2"/>
      <c r="C356" s="2"/>
      <c r="D356" s="2"/>
      <c r="E356" s="2"/>
      <c r="F356" s="2"/>
    </row>
    <row r="357" spans="1:6" ht="12.75" customHeight="1" x14ac:dyDescent="0.25">
      <c r="A357" s="2"/>
      <c r="B357" s="2"/>
      <c r="C357" s="2"/>
      <c r="D357" s="2"/>
      <c r="E357" s="2"/>
      <c r="F357" s="2"/>
    </row>
    <row r="358" spans="1:6" ht="12.75" customHeight="1" x14ac:dyDescent="0.25">
      <c r="A358" s="2"/>
      <c r="B358" s="2"/>
      <c r="C358" s="2"/>
      <c r="D358" s="2"/>
      <c r="E358" s="2"/>
      <c r="F358" s="2"/>
    </row>
    <row r="359" spans="1:6" ht="12.75" customHeight="1" x14ac:dyDescent="0.25">
      <c r="A359" s="2"/>
      <c r="B359" s="2"/>
      <c r="C359" s="2"/>
      <c r="D359" s="2"/>
      <c r="E359" s="2"/>
      <c r="F359" s="2"/>
    </row>
    <row r="360" spans="1:6" ht="12.75" customHeight="1" x14ac:dyDescent="0.25">
      <c r="A360" s="2"/>
      <c r="B360" s="2"/>
      <c r="C360" s="2"/>
      <c r="D360" s="2"/>
      <c r="E360" s="2"/>
      <c r="F360" s="2"/>
    </row>
    <row r="361" spans="1:6" ht="12.75" customHeight="1" x14ac:dyDescent="0.25">
      <c r="A361" s="2"/>
      <c r="B361" s="2"/>
      <c r="C361" s="2"/>
      <c r="D361" s="2"/>
      <c r="E361" s="2"/>
      <c r="F361" s="2"/>
    </row>
    <row r="362" spans="1:6" ht="12.75" customHeight="1" x14ac:dyDescent="0.25">
      <c r="A362" s="2"/>
      <c r="B362" s="2"/>
      <c r="C362" s="2"/>
      <c r="D362" s="2"/>
      <c r="E362" s="2"/>
      <c r="F362" s="2"/>
    </row>
    <row r="363" spans="1:6" ht="12.75" customHeight="1" x14ac:dyDescent="0.25">
      <c r="A363" s="2"/>
      <c r="B363" s="2"/>
      <c r="C363" s="2"/>
      <c r="D363" s="2"/>
      <c r="E363" s="2"/>
      <c r="F363" s="2"/>
    </row>
    <row r="364" spans="1:6" ht="12.75" customHeight="1" x14ac:dyDescent="0.25">
      <c r="A364" s="2"/>
      <c r="B364" s="2"/>
      <c r="C364" s="2"/>
      <c r="D364" s="2"/>
      <c r="E364" s="2"/>
      <c r="F364" s="2"/>
    </row>
    <row r="365" spans="1:6" ht="12.75" customHeight="1" x14ac:dyDescent="0.25">
      <c r="A365" s="2"/>
      <c r="B365" s="2"/>
      <c r="C365" s="2"/>
      <c r="D365" s="2"/>
      <c r="E365" s="2"/>
      <c r="F365" s="2"/>
    </row>
    <row r="366" spans="1:6" ht="12.75" customHeight="1" x14ac:dyDescent="0.25">
      <c r="A366" s="2"/>
      <c r="B366" s="2"/>
      <c r="C366" s="2"/>
      <c r="D366" s="2"/>
      <c r="E366" s="2"/>
      <c r="F366" s="2"/>
    </row>
    <row r="367" spans="1:6" ht="12.75" customHeight="1" x14ac:dyDescent="0.25">
      <c r="A367" s="2"/>
      <c r="B367" s="2"/>
      <c r="C367" s="2"/>
      <c r="D367" s="2"/>
      <c r="E367" s="2"/>
      <c r="F367" s="2"/>
    </row>
    <row r="368" spans="1:6" ht="12.75" customHeight="1" x14ac:dyDescent="0.25">
      <c r="A368" s="2"/>
      <c r="B368" s="2"/>
      <c r="C368" s="2"/>
      <c r="D368" s="2"/>
      <c r="E368" s="2"/>
      <c r="F368" s="2"/>
    </row>
    <row r="369" spans="1:6" ht="12.75" customHeight="1" x14ac:dyDescent="0.25">
      <c r="A369" s="2"/>
      <c r="B369" s="2"/>
      <c r="C369" s="2"/>
      <c r="D369" s="2"/>
      <c r="E369" s="2"/>
      <c r="F369" s="2"/>
    </row>
    <row r="370" spans="1:6" ht="12.75" customHeight="1" x14ac:dyDescent="0.25">
      <c r="A370" s="2"/>
      <c r="B370" s="2"/>
      <c r="C370" s="2"/>
      <c r="D370" s="2"/>
      <c r="E370" s="2"/>
      <c r="F370" s="2"/>
    </row>
    <row r="371" spans="1:6" ht="12.75" customHeight="1" x14ac:dyDescent="0.25">
      <c r="A371" s="2"/>
      <c r="B371" s="2"/>
      <c r="C371" s="2"/>
      <c r="D371" s="2"/>
      <c r="E371" s="2"/>
      <c r="F371" s="2"/>
    </row>
    <row r="372" spans="1:6" ht="12.75" customHeight="1" x14ac:dyDescent="0.25">
      <c r="A372" s="2"/>
      <c r="B372" s="2"/>
      <c r="C372" s="2"/>
      <c r="D372" s="2"/>
      <c r="E372" s="2"/>
      <c r="F372" s="2"/>
    </row>
    <row r="373" spans="1:6" ht="12.75" customHeight="1" x14ac:dyDescent="0.25">
      <c r="A373" s="2"/>
      <c r="B373" s="2"/>
      <c r="C373" s="2"/>
      <c r="D373" s="2"/>
      <c r="E373" s="2"/>
      <c r="F373" s="2"/>
    </row>
    <row r="374" spans="1:6" ht="12.75" customHeight="1" x14ac:dyDescent="0.25">
      <c r="A374" s="2"/>
      <c r="B374" s="2"/>
      <c r="C374" s="2"/>
      <c r="D374" s="2"/>
      <c r="E374" s="2"/>
      <c r="F374" s="2"/>
    </row>
    <row r="375" spans="1:6" ht="12.75" customHeight="1" x14ac:dyDescent="0.25">
      <c r="A375" s="2"/>
      <c r="B375" s="2"/>
      <c r="C375" s="2"/>
      <c r="D375" s="2"/>
      <c r="E375" s="2"/>
      <c r="F375" s="2"/>
    </row>
    <row r="376" spans="1:6" ht="12.75" customHeight="1" x14ac:dyDescent="0.25">
      <c r="A376" s="2"/>
      <c r="B376" s="2"/>
      <c r="C376" s="2"/>
      <c r="D376" s="2"/>
      <c r="E376" s="2"/>
      <c r="F376" s="2"/>
    </row>
    <row r="377" spans="1:6" ht="12.75" customHeight="1" x14ac:dyDescent="0.25">
      <c r="A377" s="2"/>
      <c r="B377" s="2"/>
      <c r="C377" s="2"/>
      <c r="D377" s="2"/>
      <c r="E377" s="2"/>
      <c r="F377" s="2"/>
    </row>
    <row r="378" spans="1:6" ht="12.75" customHeight="1" x14ac:dyDescent="0.25">
      <c r="A378" s="2"/>
      <c r="B378" s="2"/>
      <c r="C378" s="2"/>
      <c r="D378" s="2"/>
      <c r="E378" s="2"/>
      <c r="F378" s="2"/>
    </row>
    <row r="379" spans="1:6" ht="12.75" customHeight="1" x14ac:dyDescent="0.25">
      <c r="A379" s="2"/>
      <c r="B379" s="2"/>
      <c r="C379" s="2"/>
      <c r="D379" s="2"/>
      <c r="E379" s="2"/>
      <c r="F379" s="2"/>
    </row>
    <row r="380" spans="1:6" ht="12.75" customHeight="1" x14ac:dyDescent="0.25">
      <c r="A380" s="2"/>
      <c r="B380" s="2"/>
      <c r="C380" s="2"/>
      <c r="D380" s="2"/>
      <c r="E380" s="2"/>
      <c r="F380" s="2"/>
    </row>
    <row r="381" spans="1:6" ht="12.75" customHeight="1" x14ac:dyDescent="0.25">
      <c r="A381" s="2"/>
      <c r="B381" s="2"/>
      <c r="C381" s="2"/>
      <c r="D381" s="2"/>
      <c r="E381" s="2"/>
      <c r="F381" s="2"/>
    </row>
    <row r="382" spans="1:6" ht="12.75" customHeight="1" x14ac:dyDescent="0.25">
      <c r="A382" s="2"/>
      <c r="B382" s="2"/>
      <c r="C382" s="2"/>
      <c r="D382" s="2"/>
      <c r="E382" s="2"/>
      <c r="F382" s="2"/>
    </row>
    <row r="383" spans="1:6" ht="12.75" customHeight="1" x14ac:dyDescent="0.25">
      <c r="A383" s="2"/>
      <c r="B383" s="2"/>
      <c r="C383" s="2"/>
      <c r="D383" s="2"/>
      <c r="E383" s="2"/>
      <c r="F383" s="2"/>
    </row>
    <row r="384" spans="1:6" ht="12.75" customHeight="1" x14ac:dyDescent="0.25">
      <c r="A384" s="2"/>
      <c r="B384" s="2"/>
      <c r="C384" s="2"/>
      <c r="D384" s="2"/>
      <c r="E384" s="2"/>
      <c r="F384" s="2"/>
    </row>
    <row r="385" spans="1:6" ht="12.75" customHeight="1" x14ac:dyDescent="0.25">
      <c r="A385" s="2"/>
      <c r="B385" s="2"/>
      <c r="C385" s="2"/>
      <c r="D385" s="2"/>
      <c r="E385" s="2"/>
      <c r="F385" s="2"/>
    </row>
    <row r="386" spans="1:6" ht="12.75" customHeight="1" x14ac:dyDescent="0.25">
      <c r="A386" s="2"/>
      <c r="B386" s="2"/>
      <c r="C386" s="2"/>
      <c r="D386" s="2"/>
      <c r="E386" s="2"/>
      <c r="F386" s="2"/>
    </row>
    <row r="387" spans="1:6" ht="12.75" customHeight="1" x14ac:dyDescent="0.25">
      <c r="A387" s="2"/>
      <c r="B387" s="2"/>
      <c r="C387" s="2"/>
      <c r="D387" s="2"/>
      <c r="E387" s="2"/>
      <c r="F387" s="2"/>
    </row>
    <row r="388" spans="1:6" ht="12.75" customHeight="1" x14ac:dyDescent="0.25">
      <c r="A388" s="2"/>
      <c r="B388" s="2"/>
      <c r="C388" s="2"/>
      <c r="D388" s="2"/>
      <c r="E388" s="2"/>
      <c r="F388" s="2"/>
    </row>
    <row r="389" spans="1:6" ht="12.75" customHeight="1" x14ac:dyDescent="0.25">
      <c r="A389" s="2"/>
      <c r="B389" s="2"/>
      <c r="C389" s="2"/>
      <c r="D389" s="2"/>
      <c r="E389" s="2"/>
      <c r="F389" s="2"/>
    </row>
    <row r="390" spans="1:6" ht="12.75" customHeight="1" x14ac:dyDescent="0.25">
      <c r="A390" s="2"/>
      <c r="B390" s="2"/>
      <c r="C390" s="2"/>
      <c r="D390" s="2"/>
      <c r="E390" s="2"/>
      <c r="F390" s="2"/>
    </row>
    <row r="391" spans="1:6" ht="12.75" customHeight="1" x14ac:dyDescent="0.25">
      <c r="A391" s="2"/>
      <c r="B391" s="2"/>
      <c r="C391" s="2"/>
      <c r="D391" s="2"/>
      <c r="E391" s="2"/>
      <c r="F391" s="2"/>
    </row>
    <row r="392" spans="1:6" ht="12.75" customHeight="1" x14ac:dyDescent="0.25">
      <c r="A392" s="2"/>
      <c r="B392" s="2"/>
      <c r="C392" s="2"/>
      <c r="D392" s="2"/>
      <c r="E392" s="2"/>
      <c r="F392" s="2"/>
    </row>
    <row r="393" spans="1:6" ht="12.75" customHeight="1" x14ac:dyDescent="0.25">
      <c r="A393" s="2"/>
      <c r="B393" s="2"/>
      <c r="C393" s="2"/>
      <c r="D393" s="2"/>
      <c r="E393" s="2"/>
      <c r="F393" s="2"/>
    </row>
    <row r="394" spans="1:6" ht="12.75" customHeight="1" x14ac:dyDescent="0.25">
      <c r="A394" s="2"/>
      <c r="B394" s="2"/>
      <c r="C394" s="2"/>
      <c r="D394" s="2"/>
      <c r="E394" s="2"/>
      <c r="F394" s="2"/>
    </row>
    <row r="395" spans="1:6" ht="12.75" customHeight="1" x14ac:dyDescent="0.25">
      <c r="A395" s="2"/>
      <c r="B395" s="2"/>
      <c r="C395" s="2"/>
      <c r="D395" s="2"/>
      <c r="E395" s="2"/>
      <c r="F395" s="2"/>
    </row>
    <row r="396" spans="1:6" ht="12.75" customHeight="1" x14ac:dyDescent="0.25">
      <c r="A396" s="2"/>
      <c r="B396" s="2"/>
      <c r="C396" s="2"/>
      <c r="D396" s="2"/>
      <c r="E396" s="2"/>
      <c r="F396" s="2"/>
    </row>
    <row r="397" spans="1:6" ht="12.75" customHeight="1" x14ac:dyDescent="0.25">
      <c r="A397" s="2"/>
      <c r="B397" s="2"/>
      <c r="C397" s="2"/>
      <c r="D397" s="2"/>
      <c r="E397" s="2"/>
      <c r="F397" s="2"/>
    </row>
    <row r="398" spans="1:6" ht="12.75" customHeight="1" x14ac:dyDescent="0.25">
      <c r="A398" s="2"/>
      <c r="B398" s="2"/>
      <c r="C398" s="2"/>
      <c r="D398" s="2"/>
      <c r="E398" s="2"/>
      <c r="F398" s="2"/>
    </row>
    <row r="399" spans="1:6" ht="12.75" customHeight="1" x14ac:dyDescent="0.25">
      <c r="A399" s="2"/>
      <c r="B399" s="2"/>
      <c r="C399" s="2"/>
      <c r="D399" s="2"/>
      <c r="E399" s="2"/>
      <c r="F399" s="2"/>
    </row>
    <row r="400" spans="1:6" ht="12.75" customHeight="1" x14ac:dyDescent="0.25">
      <c r="A400" s="2"/>
      <c r="B400" s="2"/>
      <c r="C400" s="2"/>
      <c r="D400" s="2"/>
      <c r="E400" s="2"/>
      <c r="F400" s="2"/>
    </row>
    <row r="401" spans="1:6" ht="12.75" customHeight="1" x14ac:dyDescent="0.25">
      <c r="A401" s="2"/>
      <c r="B401" s="2"/>
      <c r="C401" s="2"/>
      <c r="D401" s="2"/>
      <c r="E401" s="2"/>
      <c r="F401" s="2"/>
    </row>
    <row r="402" spans="1:6" ht="12.75" customHeight="1" x14ac:dyDescent="0.25">
      <c r="A402" s="2"/>
      <c r="B402" s="2"/>
      <c r="C402" s="2"/>
      <c r="D402" s="2"/>
      <c r="E402" s="2"/>
      <c r="F402" s="2"/>
    </row>
    <row r="403" spans="1:6" ht="12.75" customHeight="1" x14ac:dyDescent="0.25">
      <c r="A403" s="2"/>
      <c r="B403" s="2"/>
      <c r="C403" s="2"/>
      <c r="D403" s="2"/>
      <c r="E403" s="2"/>
      <c r="F403" s="2"/>
    </row>
    <row r="404" spans="1:6" ht="12.75" customHeight="1" x14ac:dyDescent="0.25">
      <c r="A404" s="2"/>
      <c r="B404" s="2"/>
      <c r="C404" s="2"/>
      <c r="D404" s="2"/>
      <c r="E404" s="2"/>
      <c r="F404" s="2"/>
    </row>
    <row r="405" spans="1:6" ht="12.75" customHeight="1" x14ac:dyDescent="0.25">
      <c r="A405" s="2"/>
      <c r="B405" s="2"/>
      <c r="C405" s="2"/>
      <c r="D405" s="2"/>
      <c r="E405" s="2"/>
      <c r="F405" s="2"/>
    </row>
    <row r="406" spans="1:6" ht="12.75" customHeight="1" x14ac:dyDescent="0.25">
      <c r="A406" s="2"/>
      <c r="B406" s="2"/>
      <c r="C406" s="2"/>
      <c r="D406" s="2"/>
      <c r="E406" s="2"/>
      <c r="F406" s="2"/>
    </row>
    <row r="407" spans="1:6" ht="12.75" customHeight="1" x14ac:dyDescent="0.25">
      <c r="A407" s="2"/>
      <c r="B407" s="2"/>
      <c r="C407" s="2"/>
      <c r="D407" s="2"/>
      <c r="E407" s="2"/>
      <c r="F407" s="2"/>
    </row>
    <row r="408" spans="1:6" ht="12.75" customHeight="1" x14ac:dyDescent="0.25">
      <c r="A408" s="2"/>
      <c r="B408" s="2"/>
      <c r="C408" s="2"/>
      <c r="D408" s="2"/>
      <c r="E408" s="2"/>
      <c r="F408" s="2"/>
    </row>
    <row r="409" spans="1:6" ht="12.75" customHeight="1" x14ac:dyDescent="0.25">
      <c r="A409" s="2"/>
      <c r="B409" s="2"/>
      <c r="C409" s="2"/>
      <c r="D409" s="2"/>
      <c r="E409" s="2"/>
      <c r="F409" s="2"/>
    </row>
    <row r="410" spans="1:6" ht="12.75" customHeight="1" x14ac:dyDescent="0.25">
      <c r="A410" s="2"/>
      <c r="B410" s="2"/>
      <c r="C410" s="2"/>
      <c r="D410" s="2"/>
      <c r="E410" s="2"/>
      <c r="F410" s="2"/>
    </row>
    <row r="411" spans="1:6" ht="12.75" customHeight="1" x14ac:dyDescent="0.25">
      <c r="A411" s="2"/>
      <c r="B411" s="2"/>
      <c r="C411" s="2"/>
      <c r="D411" s="2"/>
      <c r="E411" s="2"/>
      <c r="F411" s="2"/>
    </row>
    <row r="412" spans="1:6" ht="12.75" customHeight="1" x14ac:dyDescent="0.25">
      <c r="A412" s="2"/>
      <c r="B412" s="2"/>
      <c r="C412" s="2"/>
      <c r="D412" s="2"/>
      <c r="E412" s="2"/>
      <c r="F412" s="2"/>
    </row>
    <row r="413" spans="1:6" ht="12.75" customHeight="1" x14ac:dyDescent="0.25">
      <c r="A413" s="2"/>
      <c r="B413" s="2"/>
      <c r="C413" s="2"/>
      <c r="D413" s="2"/>
      <c r="E413" s="2"/>
      <c r="F413" s="2"/>
    </row>
    <row r="414" spans="1:6" ht="12.75" customHeight="1" x14ac:dyDescent="0.25">
      <c r="A414" s="2"/>
      <c r="B414" s="2"/>
      <c r="C414" s="2"/>
      <c r="D414" s="2"/>
      <c r="E414" s="2"/>
      <c r="F414" s="2"/>
    </row>
    <row r="415" spans="1:6" ht="12.75" customHeight="1" x14ac:dyDescent="0.25">
      <c r="A415" s="2"/>
      <c r="B415" s="2"/>
      <c r="C415" s="2"/>
      <c r="D415" s="2"/>
      <c r="E415" s="2"/>
      <c r="F415" s="2"/>
    </row>
    <row r="416" spans="1:6" ht="12.75" customHeight="1" x14ac:dyDescent="0.25">
      <c r="A416" s="2"/>
      <c r="B416" s="2"/>
      <c r="C416" s="2"/>
      <c r="D416" s="2"/>
      <c r="E416" s="2"/>
      <c r="F416" s="2"/>
    </row>
    <row r="417" spans="1:6" ht="12.75" customHeight="1" x14ac:dyDescent="0.25">
      <c r="A417" s="2"/>
      <c r="B417" s="2"/>
      <c r="C417" s="2"/>
      <c r="D417" s="2"/>
      <c r="E417" s="2"/>
      <c r="F417" s="2"/>
    </row>
    <row r="418" spans="1:6" ht="12.75" customHeight="1" x14ac:dyDescent="0.25">
      <c r="A418" s="2"/>
      <c r="B418" s="2"/>
      <c r="C418" s="2"/>
      <c r="D418" s="2"/>
      <c r="E418" s="2"/>
      <c r="F418" s="2"/>
    </row>
    <row r="419" spans="1:6" ht="12.75" customHeight="1" x14ac:dyDescent="0.25">
      <c r="A419" s="2"/>
      <c r="B419" s="2"/>
      <c r="C419" s="2"/>
      <c r="D419" s="2"/>
      <c r="E419" s="2"/>
      <c r="F419" s="2"/>
    </row>
    <row r="420" spans="1:6" ht="12.75" customHeight="1" x14ac:dyDescent="0.25">
      <c r="A420" s="2"/>
      <c r="B420" s="2"/>
      <c r="C420" s="2"/>
      <c r="D420" s="2"/>
      <c r="E420" s="2"/>
      <c r="F420" s="2"/>
    </row>
    <row r="421" spans="1:6" ht="12.75" customHeight="1" x14ac:dyDescent="0.25">
      <c r="A421" s="2"/>
      <c r="B421" s="2"/>
      <c r="C421" s="2"/>
      <c r="D421" s="2"/>
      <c r="E421" s="2"/>
      <c r="F421" s="2"/>
    </row>
    <row r="422" spans="1:6" ht="12.75" customHeight="1" x14ac:dyDescent="0.25">
      <c r="A422" s="2"/>
      <c r="B422" s="2"/>
      <c r="C422" s="2"/>
      <c r="D422" s="2"/>
      <c r="E422" s="2"/>
      <c r="F422" s="2"/>
    </row>
    <row r="423" spans="1:6" ht="12.75" customHeight="1" x14ac:dyDescent="0.25">
      <c r="A423" s="2"/>
      <c r="B423" s="2"/>
      <c r="C423" s="2"/>
      <c r="D423" s="2"/>
      <c r="E423" s="2"/>
      <c r="F423" s="2"/>
    </row>
    <row r="424" spans="1:6" ht="12.75" customHeight="1" x14ac:dyDescent="0.25">
      <c r="A424" s="2"/>
      <c r="B424" s="2"/>
      <c r="C424" s="2"/>
      <c r="D424" s="2"/>
      <c r="E424" s="2"/>
      <c r="F424" s="2"/>
    </row>
    <row r="425" spans="1:6" ht="12.75" customHeight="1" x14ac:dyDescent="0.25">
      <c r="A425" s="2"/>
      <c r="B425" s="2"/>
      <c r="C425" s="2"/>
      <c r="D425" s="2"/>
      <c r="E425" s="2"/>
      <c r="F425" s="2"/>
    </row>
    <row r="426" spans="1:6" ht="12.75" customHeight="1" x14ac:dyDescent="0.25">
      <c r="A426" s="2"/>
      <c r="B426" s="2"/>
      <c r="C426" s="2"/>
      <c r="D426" s="2"/>
      <c r="E426" s="2"/>
      <c r="F426" s="2"/>
    </row>
    <row r="427" spans="1:6" ht="12.75" customHeight="1" x14ac:dyDescent="0.25">
      <c r="A427" s="2"/>
      <c r="B427" s="2"/>
      <c r="C427" s="2"/>
      <c r="D427" s="2"/>
      <c r="E427" s="2"/>
      <c r="F427" s="2"/>
    </row>
    <row r="428" spans="1:6" ht="12.75" customHeight="1" x14ac:dyDescent="0.25">
      <c r="A428" s="2"/>
      <c r="B428" s="2"/>
      <c r="C428" s="2"/>
      <c r="D428" s="2"/>
      <c r="E428" s="2"/>
      <c r="F428" s="2"/>
    </row>
    <row r="429" spans="1:6" ht="12.75" customHeight="1" x14ac:dyDescent="0.25">
      <c r="A429" s="2"/>
      <c r="B429" s="2"/>
      <c r="C429" s="2"/>
      <c r="D429" s="2"/>
      <c r="E429" s="2"/>
      <c r="F429" s="2"/>
    </row>
    <row r="430" spans="1:6" ht="12.75" customHeight="1" x14ac:dyDescent="0.25">
      <c r="A430" s="2"/>
      <c r="B430" s="2"/>
      <c r="C430" s="2"/>
      <c r="D430" s="2"/>
      <c r="E430" s="2"/>
      <c r="F430" s="2"/>
    </row>
    <row r="431" spans="1:6" ht="12.75" customHeight="1" x14ac:dyDescent="0.25">
      <c r="A431" s="2"/>
      <c r="B431" s="2"/>
      <c r="C431" s="2"/>
      <c r="D431" s="2"/>
      <c r="E431" s="2"/>
      <c r="F431" s="2"/>
    </row>
    <row r="432" spans="1:6" ht="12.75" customHeight="1" x14ac:dyDescent="0.25">
      <c r="A432" s="2"/>
      <c r="B432" s="2"/>
      <c r="C432" s="2"/>
      <c r="D432" s="2"/>
      <c r="E432" s="2"/>
      <c r="F432" s="2"/>
    </row>
    <row r="433" spans="1:6" ht="12.75" customHeight="1" x14ac:dyDescent="0.25">
      <c r="A433" s="2"/>
      <c r="B433" s="2"/>
      <c r="C433" s="2"/>
      <c r="D433" s="2"/>
      <c r="E433" s="2"/>
      <c r="F433" s="2"/>
    </row>
    <row r="434" spans="1:6" ht="12.75" customHeight="1" x14ac:dyDescent="0.25">
      <c r="A434" s="2"/>
      <c r="B434" s="2"/>
      <c r="C434" s="2"/>
      <c r="D434" s="2"/>
      <c r="E434" s="2"/>
      <c r="F434" s="2"/>
    </row>
    <row r="435" spans="1:6" ht="12.75" customHeight="1" x14ac:dyDescent="0.25">
      <c r="A435" s="2"/>
      <c r="B435" s="2"/>
      <c r="C435" s="2"/>
      <c r="D435" s="2"/>
      <c r="E435" s="2"/>
      <c r="F435" s="2"/>
    </row>
    <row r="436" spans="1:6" ht="12.75" customHeight="1" x14ac:dyDescent="0.25">
      <c r="A436" s="2"/>
      <c r="B436" s="2"/>
      <c r="C436" s="2"/>
      <c r="D436" s="2"/>
      <c r="E436" s="2"/>
      <c r="F436" s="2"/>
    </row>
    <row r="437" spans="1:6" ht="12.75" customHeight="1" x14ac:dyDescent="0.25">
      <c r="A437" s="2"/>
      <c r="B437" s="2"/>
      <c r="C437" s="2"/>
      <c r="D437" s="2"/>
      <c r="E437" s="2"/>
      <c r="F437" s="2"/>
    </row>
    <row r="438" spans="1:6" ht="12.75" customHeight="1" x14ac:dyDescent="0.25">
      <c r="A438" s="2"/>
      <c r="B438" s="2"/>
      <c r="C438" s="2"/>
      <c r="D438" s="2"/>
      <c r="E438" s="2"/>
      <c r="F438" s="2"/>
    </row>
    <row r="439" spans="1:6" ht="12.75" customHeight="1" x14ac:dyDescent="0.25">
      <c r="A439" s="2"/>
      <c r="B439" s="2"/>
      <c r="C439" s="2"/>
      <c r="D439" s="2"/>
      <c r="E439" s="2"/>
      <c r="F439" s="2"/>
    </row>
    <row r="440" spans="1:6" ht="12.75" customHeight="1" x14ac:dyDescent="0.25">
      <c r="A440" s="2"/>
      <c r="B440" s="2"/>
      <c r="C440" s="2"/>
      <c r="D440" s="2"/>
      <c r="E440" s="2"/>
      <c r="F440" s="2"/>
    </row>
    <row r="441" spans="1:6" ht="12.75" customHeight="1" x14ac:dyDescent="0.25">
      <c r="A441" s="2"/>
      <c r="B441" s="2"/>
      <c r="C441" s="2"/>
      <c r="D441" s="2"/>
      <c r="E441" s="2"/>
      <c r="F441" s="2"/>
    </row>
    <row r="442" spans="1:6" ht="12.75" customHeight="1" x14ac:dyDescent="0.25">
      <c r="A442" s="2"/>
      <c r="B442" s="2"/>
      <c r="C442" s="2"/>
      <c r="D442" s="2"/>
      <c r="E442" s="2"/>
      <c r="F442" s="2"/>
    </row>
    <row r="443" spans="1:6" ht="12.75" customHeight="1" x14ac:dyDescent="0.25">
      <c r="A443" s="2"/>
      <c r="B443" s="2"/>
      <c r="C443" s="2"/>
      <c r="D443" s="2"/>
      <c r="E443" s="2"/>
      <c r="F443" s="2"/>
    </row>
    <row r="444" spans="1:6" ht="12.75" customHeight="1" x14ac:dyDescent="0.25">
      <c r="A444" s="2"/>
      <c r="B444" s="2"/>
      <c r="C444" s="2"/>
      <c r="D444" s="2"/>
      <c r="E444" s="2"/>
      <c r="F444" s="2"/>
    </row>
    <row r="445" spans="1:6" ht="12.75" customHeight="1" x14ac:dyDescent="0.25">
      <c r="A445" s="2"/>
      <c r="B445" s="2"/>
      <c r="C445" s="2"/>
      <c r="D445" s="2"/>
      <c r="E445" s="2"/>
      <c r="F445" s="2"/>
    </row>
    <row r="446" spans="1:6" ht="12.75" customHeight="1" x14ac:dyDescent="0.25">
      <c r="A446" s="2"/>
      <c r="B446" s="2"/>
      <c r="C446" s="2"/>
      <c r="D446" s="2"/>
      <c r="E446" s="2"/>
      <c r="F446" s="2"/>
    </row>
    <row r="447" spans="1:6" ht="12.75" customHeight="1" x14ac:dyDescent="0.25">
      <c r="A447" s="2"/>
      <c r="B447" s="2"/>
      <c r="C447" s="2"/>
      <c r="D447" s="2"/>
      <c r="E447" s="2"/>
      <c r="F447" s="2"/>
    </row>
    <row r="448" spans="1:6" ht="12.75" customHeight="1" x14ac:dyDescent="0.25">
      <c r="A448" s="2"/>
      <c r="B448" s="2"/>
      <c r="C448" s="2"/>
      <c r="D448" s="2"/>
      <c r="E448" s="2"/>
      <c r="F448" s="2"/>
    </row>
    <row r="449" spans="1:6" ht="12.75" customHeight="1" x14ac:dyDescent="0.25">
      <c r="A449" s="2"/>
      <c r="B449" s="2"/>
      <c r="C449" s="2"/>
      <c r="D449" s="2"/>
      <c r="E449" s="2"/>
      <c r="F449" s="2"/>
    </row>
    <row r="450" spans="1:6" ht="12.75" customHeight="1" x14ac:dyDescent="0.25">
      <c r="A450" s="2"/>
      <c r="B450" s="2"/>
      <c r="C450" s="2"/>
      <c r="D450" s="2"/>
      <c r="E450" s="2"/>
      <c r="F450" s="2"/>
    </row>
    <row r="451" spans="1:6" ht="12.75" customHeight="1" x14ac:dyDescent="0.25">
      <c r="A451" s="2"/>
      <c r="B451" s="2"/>
      <c r="C451" s="2"/>
      <c r="D451" s="2"/>
      <c r="E451" s="2"/>
      <c r="F451" s="2"/>
    </row>
    <row r="452" spans="1:6" ht="12.75" customHeight="1" x14ac:dyDescent="0.25">
      <c r="A452" s="2"/>
      <c r="B452" s="2"/>
      <c r="C452" s="2"/>
      <c r="D452" s="2"/>
      <c r="E452" s="2"/>
      <c r="F452" s="2"/>
    </row>
    <row r="453" spans="1:6" ht="12.75" customHeight="1" x14ac:dyDescent="0.25">
      <c r="A453" s="2"/>
      <c r="B453" s="2"/>
      <c r="C453" s="2"/>
      <c r="D453" s="2"/>
      <c r="E453" s="2"/>
      <c r="F453" s="2"/>
    </row>
    <row r="454" spans="1:6" ht="12.75" customHeight="1" x14ac:dyDescent="0.25">
      <c r="A454" s="2"/>
      <c r="B454" s="2"/>
      <c r="C454" s="2"/>
      <c r="D454" s="2"/>
      <c r="E454" s="2"/>
      <c r="F454" s="2"/>
    </row>
    <row r="455" spans="1:6" ht="12.75" customHeight="1" x14ac:dyDescent="0.25">
      <c r="A455" s="2"/>
      <c r="B455" s="2"/>
      <c r="C455" s="2"/>
      <c r="D455" s="2"/>
      <c r="E455" s="2"/>
      <c r="F455" s="2"/>
    </row>
    <row r="456" spans="1:6" ht="12.75" customHeight="1" x14ac:dyDescent="0.25">
      <c r="A456" s="2"/>
      <c r="B456" s="2"/>
      <c r="C456" s="2"/>
      <c r="D456" s="2"/>
      <c r="E456" s="2"/>
      <c r="F456" s="2"/>
    </row>
    <row r="457" spans="1:6" ht="12.75" customHeight="1" x14ac:dyDescent="0.25">
      <c r="A457" s="2"/>
      <c r="B457" s="2"/>
      <c r="C457" s="2"/>
      <c r="D457" s="2"/>
      <c r="E457" s="2"/>
      <c r="F457" s="2"/>
    </row>
    <row r="458" spans="1:6" ht="12.75" customHeight="1" x14ac:dyDescent="0.25">
      <c r="A458" s="2"/>
      <c r="B458" s="2"/>
      <c r="C458" s="2"/>
      <c r="D458" s="2"/>
      <c r="E458" s="2"/>
      <c r="F458" s="2"/>
    </row>
    <row r="459" spans="1:6" ht="12.75" customHeight="1" x14ac:dyDescent="0.25">
      <c r="A459" s="2"/>
      <c r="B459" s="2"/>
      <c r="C459" s="2"/>
      <c r="D459" s="2"/>
      <c r="E459" s="2"/>
      <c r="F459" s="2"/>
    </row>
    <row r="460" spans="1:6" ht="12.75" customHeight="1" x14ac:dyDescent="0.25">
      <c r="A460" s="2"/>
      <c r="B460" s="2"/>
      <c r="C460" s="2"/>
      <c r="D460" s="2"/>
      <c r="E460" s="2"/>
      <c r="F460" s="2"/>
    </row>
    <row r="461" spans="1:6" ht="12.75" customHeight="1" x14ac:dyDescent="0.25">
      <c r="A461" s="2"/>
      <c r="B461" s="2"/>
      <c r="C461" s="2"/>
      <c r="D461" s="2"/>
      <c r="E461" s="2"/>
      <c r="F461" s="2"/>
    </row>
    <row r="462" spans="1:6" ht="12.75" customHeight="1" x14ac:dyDescent="0.25">
      <c r="A462" s="2"/>
      <c r="B462" s="2"/>
      <c r="C462" s="2"/>
      <c r="D462" s="2"/>
      <c r="E462" s="2"/>
      <c r="F462" s="2"/>
    </row>
    <row r="463" spans="1:6" ht="12.75" customHeight="1" x14ac:dyDescent="0.25">
      <c r="A463" s="2"/>
      <c r="B463" s="2"/>
      <c r="C463" s="2"/>
      <c r="D463" s="2"/>
      <c r="E463" s="2"/>
      <c r="F463" s="2"/>
    </row>
    <row r="464" spans="1:6" ht="12.75" customHeight="1" x14ac:dyDescent="0.25">
      <c r="A464" s="2"/>
      <c r="B464" s="2"/>
      <c r="C464" s="2"/>
      <c r="D464" s="2"/>
      <c r="E464" s="2"/>
      <c r="F464" s="2"/>
    </row>
    <row r="465" spans="1:6" ht="12.75" customHeight="1" x14ac:dyDescent="0.25">
      <c r="A465" s="2"/>
      <c r="B465" s="2"/>
      <c r="C465" s="2"/>
      <c r="D465" s="2"/>
      <c r="E465" s="2"/>
      <c r="F465" s="2"/>
    </row>
    <row r="466" spans="1:6" ht="12.75" customHeight="1" x14ac:dyDescent="0.25">
      <c r="A466" s="2"/>
      <c r="B466" s="2"/>
      <c r="C466" s="2"/>
      <c r="D466" s="2"/>
      <c r="E466" s="2"/>
      <c r="F466" s="2"/>
    </row>
    <row r="467" spans="1:6" ht="12.75" customHeight="1" x14ac:dyDescent="0.25">
      <c r="A467" s="2"/>
      <c r="B467" s="2"/>
      <c r="C467" s="2"/>
      <c r="D467" s="2"/>
      <c r="E467" s="2"/>
      <c r="F467" s="2"/>
    </row>
    <row r="468" spans="1:6" ht="12.75" customHeight="1" x14ac:dyDescent="0.25">
      <c r="A468" s="2"/>
      <c r="B468" s="2"/>
      <c r="C468" s="2"/>
      <c r="D468" s="2"/>
      <c r="E468" s="2"/>
      <c r="F468" s="2"/>
    </row>
    <row r="469" spans="1:6" ht="12.75" customHeight="1" x14ac:dyDescent="0.25">
      <c r="A469" s="2"/>
      <c r="B469" s="2"/>
      <c r="C469" s="2"/>
      <c r="D469" s="2"/>
      <c r="E469" s="2"/>
      <c r="F469" s="2"/>
    </row>
    <row r="470" spans="1:6" ht="12.75" customHeight="1" x14ac:dyDescent="0.25">
      <c r="A470" s="2"/>
      <c r="B470" s="2"/>
      <c r="C470" s="2"/>
      <c r="D470" s="2"/>
      <c r="E470" s="2"/>
      <c r="F470" s="2"/>
    </row>
    <row r="471" spans="1:6" ht="12.75" customHeight="1" x14ac:dyDescent="0.25">
      <c r="A471" s="2"/>
      <c r="B471" s="2"/>
      <c r="C471" s="2"/>
      <c r="D471" s="2"/>
      <c r="E471" s="2"/>
      <c r="F471" s="2"/>
    </row>
    <row r="472" spans="1:6" ht="12.75" customHeight="1" x14ac:dyDescent="0.25">
      <c r="A472" s="2"/>
      <c r="B472" s="2"/>
      <c r="C472" s="2"/>
      <c r="D472" s="2"/>
      <c r="E472" s="2"/>
      <c r="F472" s="2"/>
    </row>
    <row r="473" spans="1:6" ht="12.75" customHeight="1" x14ac:dyDescent="0.25">
      <c r="A473" s="2"/>
      <c r="B473" s="2"/>
      <c r="C473" s="2"/>
      <c r="D473" s="2"/>
      <c r="E473" s="2"/>
      <c r="F473" s="2"/>
    </row>
    <row r="474" spans="1:6" ht="12.75" customHeight="1" x14ac:dyDescent="0.25">
      <c r="A474" s="2"/>
      <c r="B474" s="2"/>
      <c r="C474" s="2"/>
      <c r="D474" s="2"/>
      <c r="E474" s="2"/>
      <c r="F474" s="2"/>
    </row>
    <row r="475" spans="1:6" ht="12.75" customHeight="1" x14ac:dyDescent="0.25">
      <c r="A475" s="2"/>
      <c r="B475" s="2"/>
      <c r="C475" s="2"/>
      <c r="D475" s="2"/>
      <c r="E475" s="2"/>
      <c r="F475" s="2"/>
    </row>
    <row r="476" spans="1:6" ht="12.75" customHeight="1" x14ac:dyDescent="0.25">
      <c r="A476" s="2"/>
      <c r="B476" s="2"/>
      <c r="C476" s="2"/>
      <c r="D476" s="2"/>
      <c r="E476" s="2"/>
      <c r="F476" s="2"/>
    </row>
    <row r="477" spans="1:6" ht="12.75" customHeight="1" x14ac:dyDescent="0.25">
      <c r="A477" s="2"/>
      <c r="B477" s="2"/>
      <c r="C477" s="2"/>
      <c r="D477" s="2"/>
      <c r="E477" s="2"/>
      <c r="F477" s="2"/>
    </row>
    <row r="478" spans="1:6" ht="12.75" customHeight="1" x14ac:dyDescent="0.25">
      <c r="A478" s="2"/>
      <c r="B478" s="2"/>
      <c r="C478" s="2"/>
      <c r="D478" s="2"/>
      <c r="E478" s="2"/>
      <c r="F478" s="2"/>
    </row>
    <row r="479" spans="1:6" ht="12.75" customHeight="1" x14ac:dyDescent="0.25">
      <c r="A479" s="2"/>
      <c r="B479" s="2"/>
      <c r="C479" s="2"/>
      <c r="D479" s="2"/>
      <c r="E479" s="2"/>
      <c r="F479" s="2"/>
    </row>
    <row r="480" spans="1:6" ht="12.75" customHeight="1" x14ac:dyDescent="0.25">
      <c r="A480" s="2"/>
      <c r="B480" s="2"/>
      <c r="C480" s="2"/>
      <c r="D480" s="2"/>
      <c r="E480" s="2"/>
      <c r="F480" s="2"/>
    </row>
    <row r="481" spans="1:6" ht="12.75" customHeight="1" x14ac:dyDescent="0.25">
      <c r="A481" s="2"/>
      <c r="B481" s="2"/>
      <c r="C481" s="2"/>
      <c r="D481" s="2"/>
      <c r="E481" s="2"/>
      <c r="F481" s="2"/>
    </row>
    <row r="482" spans="1:6" ht="12.75" customHeight="1" x14ac:dyDescent="0.25">
      <c r="A482" s="2"/>
      <c r="B482" s="2"/>
      <c r="C482" s="2"/>
      <c r="D482" s="2"/>
      <c r="E482" s="2"/>
      <c r="F482" s="2"/>
    </row>
    <row r="483" spans="1:6" ht="12.75" customHeight="1" x14ac:dyDescent="0.25">
      <c r="A483" s="2"/>
      <c r="B483" s="2"/>
      <c r="C483" s="2"/>
      <c r="D483" s="2"/>
      <c r="E483" s="2"/>
      <c r="F483" s="2"/>
    </row>
    <row r="484" spans="1:6" ht="12.75" customHeight="1" x14ac:dyDescent="0.25">
      <c r="A484" s="2"/>
      <c r="B484" s="2"/>
      <c r="C484" s="2"/>
      <c r="D484" s="2"/>
      <c r="E484" s="2"/>
      <c r="F484" s="2"/>
    </row>
    <row r="485" spans="1:6" ht="12.75" customHeight="1" x14ac:dyDescent="0.25">
      <c r="A485" s="2"/>
      <c r="B485" s="2"/>
      <c r="C485" s="2"/>
      <c r="D485" s="2"/>
      <c r="E485" s="2"/>
      <c r="F485" s="2"/>
    </row>
    <row r="486" spans="1:6" ht="12.75" customHeight="1" x14ac:dyDescent="0.25">
      <c r="A486" s="2"/>
      <c r="B486" s="2"/>
      <c r="C486" s="2"/>
      <c r="D486" s="2"/>
      <c r="E486" s="2"/>
      <c r="F486" s="2"/>
    </row>
    <row r="487" spans="1:6" ht="12.75" customHeight="1" x14ac:dyDescent="0.25">
      <c r="A487" s="2"/>
      <c r="B487" s="2"/>
      <c r="C487" s="2"/>
      <c r="D487" s="2"/>
      <c r="E487" s="2"/>
      <c r="F487" s="2"/>
    </row>
    <row r="488" spans="1:6" ht="12.75" customHeight="1" x14ac:dyDescent="0.25">
      <c r="A488" s="2"/>
      <c r="B488" s="2"/>
      <c r="C488" s="2"/>
      <c r="D488" s="2"/>
      <c r="E488" s="2"/>
      <c r="F488" s="2"/>
    </row>
    <row r="489" spans="1:6" ht="12.75" customHeight="1" x14ac:dyDescent="0.25">
      <c r="A489" s="2"/>
      <c r="B489" s="2"/>
      <c r="C489" s="2"/>
      <c r="D489" s="2"/>
      <c r="E489" s="2"/>
      <c r="F489" s="2"/>
    </row>
    <row r="490" spans="1:6" ht="12.75" customHeight="1" x14ac:dyDescent="0.25">
      <c r="A490" s="2"/>
      <c r="B490" s="2"/>
      <c r="C490" s="2"/>
      <c r="D490" s="2"/>
      <c r="E490" s="2"/>
      <c r="F490" s="2"/>
    </row>
    <row r="491" spans="1:6" ht="12.75" customHeight="1" x14ac:dyDescent="0.25">
      <c r="A491" s="2"/>
      <c r="B491" s="2"/>
      <c r="C491" s="2"/>
      <c r="D491" s="2"/>
      <c r="E491" s="2"/>
      <c r="F491" s="2"/>
    </row>
    <row r="492" spans="1:6" ht="12.75" customHeight="1" x14ac:dyDescent="0.25">
      <c r="A492" s="2"/>
      <c r="B492" s="2"/>
      <c r="C492" s="2"/>
      <c r="D492" s="2"/>
      <c r="E492" s="2"/>
      <c r="F492" s="2"/>
    </row>
    <row r="493" spans="1:6" ht="12.75" customHeight="1" x14ac:dyDescent="0.25">
      <c r="A493" s="2"/>
      <c r="B493" s="2"/>
      <c r="C493" s="2"/>
      <c r="D493" s="2"/>
      <c r="E493" s="2"/>
      <c r="F493" s="2"/>
    </row>
    <row r="494" spans="1:6" ht="12.75" customHeight="1" x14ac:dyDescent="0.25">
      <c r="A494" s="2"/>
      <c r="B494" s="2"/>
      <c r="C494" s="2"/>
      <c r="D494" s="2"/>
      <c r="E494" s="2"/>
      <c r="F494" s="2"/>
    </row>
    <row r="495" spans="1:6" ht="12.75" customHeight="1" x14ac:dyDescent="0.25">
      <c r="A495" s="2"/>
      <c r="B495" s="2"/>
      <c r="C495" s="2"/>
      <c r="D495" s="2"/>
      <c r="E495" s="2"/>
      <c r="F495" s="2"/>
    </row>
    <row r="496" spans="1:6" ht="12.75" customHeight="1" x14ac:dyDescent="0.25">
      <c r="A496" s="2"/>
      <c r="B496" s="2"/>
      <c r="C496" s="2"/>
      <c r="D496" s="2"/>
      <c r="E496" s="2"/>
      <c r="F496" s="2"/>
    </row>
    <row r="497" spans="1:6" ht="12.75" customHeight="1" x14ac:dyDescent="0.25">
      <c r="A497" s="2"/>
      <c r="B497" s="2"/>
      <c r="C497" s="2"/>
      <c r="D497" s="2"/>
      <c r="E497" s="2"/>
      <c r="F497" s="2"/>
    </row>
    <row r="498" spans="1:6" ht="12.75" customHeight="1" x14ac:dyDescent="0.25">
      <c r="A498" s="2"/>
      <c r="B498" s="2"/>
      <c r="C498" s="2"/>
      <c r="D498" s="2"/>
      <c r="E498" s="2"/>
      <c r="F498" s="2"/>
    </row>
    <row r="499" spans="1:6" ht="12.75" customHeight="1" x14ac:dyDescent="0.25">
      <c r="A499" s="2"/>
      <c r="B499" s="2"/>
      <c r="C499" s="2"/>
      <c r="D499" s="2"/>
      <c r="E499" s="2"/>
      <c r="F499" s="2"/>
    </row>
    <row r="500" spans="1:6" ht="12.75" customHeight="1" x14ac:dyDescent="0.25">
      <c r="A500" s="2"/>
      <c r="B500" s="2"/>
      <c r="C500" s="2"/>
      <c r="D500" s="2"/>
      <c r="E500" s="2"/>
      <c r="F500" s="2"/>
    </row>
    <row r="501" spans="1:6" ht="12.75" customHeight="1" x14ac:dyDescent="0.25">
      <c r="A501" s="2"/>
      <c r="B501" s="2"/>
      <c r="C501" s="2"/>
      <c r="D501" s="2"/>
      <c r="E501" s="2"/>
      <c r="F501" s="2"/>
    </row>
    <row r="502" spans="1:6" ht="12.75" customHeight="1" x14ac:dyDescent="0.25">
      <c r="A502" s="2"/>
      <c r="B502" s="2"/>
      <c r="C502" s="2"/>
      <c r="D502" s="2"/>
      <c r="E502" s="2"/>
      <c r="F502" s="2"/>
    </row>
    <row r="503" spans="1:6" ht="12.75" customHeight="1" x14ac:dyDescent="0.25">
      <c r="A503" s="2"/>
      <c r="B503" s="2"/>
      <c r="C503" s="2"/>
      <c r="D503" s="2"/>
      <c r="E503" s="2"/>
      <c r="F503" s="2"/>
    </row>
    <row r="504" spans="1:6" ht="12.75" customHeight="1" x14ac:dyDescent="0.25">
      <c r="A504" s="2"/>
      <c r="B504" s="2"/>
      <c r="C504" s="2"/>
      <c r="D504" s="2"/>
      <c r="E504" s="2"/>
      <c r="F504" s="2"/>
    </row>
    <row r="505" spans="1:6" ht="12.75" customHeight="1" x14ac:dyDescent="0.25">
      <c r="A505" s="2"/>
      <c r="B505" s="2"/>
      <c r="C505" s="2"/>
      <c r="D505" s="2"/>
      <c r="E505" s="2"/>
      <c r="F505" s="2"/>
    </row>
    <row r="506" spans="1:6" ht="12.75" customHeight="1" x14ac:dyDescent="0.25">
      <c r="A506" s="2"/>
      <c r="B506" s="2"/>
      <c r="C506" s="2"/>
      <c r="D506" s="2"/>
      <c r="E506" s="2"/>
      <c r="F506" s="2"/>
    </row>
    <row r="507" spans="1:6" ht="12.75" customHeight="1" x14ac:dyDescent="0.25">
      <c r="A507" s="2"/>
      <c r="B507" s="2"/>
      <c r="C507" s="2"/>
      <c r="D507" s="2"/>
      <c r="E507" s="2"/>
      <c r="F507" s="2"/>
    </row>
    <row r="508" spans="1:6" ht="12.75" customHeight="1" x14ac:dyDescent="0.25">
      <c r="A508" s="2"/>
      <c r="B508" s="2"/>
      <c r="C508" s="2"/>
      <c r="D508" s="2"/>
      <c r="E508" s="2"/>
      <c r="F508" s="2"/>
    </row>
    <row r="509" spans="1:6" ht="12.75" customHeight="1" x14ac:dyDescent="0.25">
      <c r="A509" s="2"/>
      <c r="B509" s="2"/>
      <c r="C509" s="2"/>
      <c r="D509" s="2"/>
      <c r="E509" s="2"/>
      <c r="F509" s="2"/>
    </row>
    <row r="510" spans="1:6" ht="12.75" customHeight="1" x14ac:dyDescent="0.25">
      <c r="A510" s="2"/>
      <c r="B510" s="2"/>
      <c r="C510" s="2"/>
      <c r="D510" s="2"/>
      <c r="E510" s="2"/>
      <c r="F510" s="2"/>
    </row>
    <row r="511" spans="1:6" ht="12.75" customHeight="1" x14ac:dyDescent="0.25">
      <c r="A511" s="2"/>
      <c r="B511" s="2"/>
      <c r="C511" s="2"/>
      <c r="D511" s="2"/>
      <c r="E511" s="2"/>
      <c r="F511" s="2"/>
    </row>
    <row r="512" spans="1:6" ht="12.75" customHeight="1" x14ac:dyDescent="0.25">
      <c r="A512" s="2"/>
      <c r="B512" s="2"/>
      <c r="C512" s="2"/>
      <c r="D512" s="2"/>
      <c r="E512" s="2"/>
      <c r="F512" s="2"/>
    </row>
    <row r="513" spans="1:6" ht="12.75" customHeight="1" x14ac:dyDescent="0.25">
      <c r="A513" s="2"/>
      <c r="B513" s="2"/>
      <c r="C513" s="2"/>
      <c r="D513" s="2"/>
      <c r="E513" s="2"/>
      <c r="F513" s="2"/>
    </row>
    <row r="514" spans="1:6" ht="12.75" customHeight="1" x14ac:dyDescent="0.25">
      <c r="A514" s="2"/>
      <c r="B514" s="2"/>
      <c r="C514" s="2"/>
      <c r="D514" s="2"/>
      <c r="E514" s="2"/>
      <c r="F514" s="2"/>
    </row>
    <row r="515" spans="1:6" ht="12.75" customHeight="1" x14ac:dyDescent="0.25">
      <c r="A515" s="2"/>
      <c r="B515" s="2"/>
      <c r="C515" s="2"/>
      <c r="D515" s="2"/>
      <c r="E515" s="2"/>
      <c r="F515" s="2"/>
    </row>
    <row r="516" spans="1:6" ht="12.75" customHeight="1" x14ac:dyDescent="0.25">
      <c r="A516" s="2"/>
      <c r="B516" s="2"/>
      <c r="C516" s="2"/>
      <c r="D516" s="2"/>
      <c r="E516" s="2"/>
      <c r="F516" s="2"/>
    </row>
    <row r="517" spans="1:6" ht="12.75" customHeight="1" x14ac:dyDescent="0.25">
      <c r="A517" s="2"/>
      <c r="B517" s="2"/>
      <c r="C517" s="2"/>
      <c r="D517" s="2"/>
      <c r="E517" s="2"/>
      <c r="F517" s="2"/>
    </row>
    <row r="518" spans="1:6" ht="12.75" customHeight="1" x14ac:dyDescent="0.25">
      <c r="A518" s="2"/>
      <c r="B518" s="2"/>
      <c r="C518" s="2"/>
      <c r="D518" s="2"/>
      <c r="E518" s="2"/>
      <c r="F518" s="2"/>
    </row>
    <row r="519" spans="1:6" ht="12.75" customHeight="1" x14ac:dyDescent="0.25">
      <c r="A519" s="2"/>
      <c r="B519" s="2"/>
      <c r="C519" s="2"/>
      <c r="D519" s="2"/>
      <c r="E519" s="2"/>
      <c r="F519" s="2"/>
    </row>
    <row r="520" spans="1:6" ht="12.75" customHeight="1" x14ac:dyDescent="0.25">
      <c r="A520" s="2"/>
      <c r="B520" s="2"/>
      <c r="C520" s="2"/>
      <c r="D520" s="2"/>
      <c r="E520" s="2"/>
      <c r="F520" s="2"/>
    </row>
    <row r="521" spans="1:6" ht="12.75" customHeight="1" x14ac:dyDescent="0.25">
      <c r="A521" s="2"/>
      <c r="B521" s="2"/>
      <c r="C521" s="2"/>
      <c r="D521" s="2"/>
      <c r="E521" s="2"/>
      <c r="F521" s="2"/>
    </row>
    <row r="522" spans="1:6" ht="12.75" customHeight="1" x14ac:dyDescent="0.25">
      <c r="A522" s="2"/>
      <c r="B522" s="2"/>
      <c r="C522" s="2"/>
      <c r="D522" s="2"/>
      <c r="E522" s="2"/>
      <c r="F522" s="2"/>
    </row>
    <row r="523" spans="1:6" ht="12.75" customHeight="1" x14ac:dyDescent="0.25">
      <c r="A523" s="2"/>
      <c r="B523" s="2"/>
      <c r="C523" s="2"/>
      <c r="D523" s="2"/>
      <c r="E523" s="2"/>
      <c r="F523" s="2"/>
    </row>
    <row r="524" spans="1:6" ht="12.75" customHeight="1" x14ac:dyDescent="0.25">
      <c r="A524" s="2"/>
      <c r="B524" s="2"/>
      <c r="C524" s="2"/>
      <c r="D524" s="2"/>
      <c r="E524" s="2"/>
      <c r="F524" s="2"/>
    </row>
    <row r="525" spans="1:6" ht="12.75" customHeight="1" x14ac:dyDescent="0.25">
      <c r="A525" s="2"/>
      <c r="B525" s="2"/>
      <c r="C525" s="2"/>
      <c r="D525" s="2"/>
      <c r="E525" s="2"/>
      <c r="F525" s="2"/>
    </row>
    <row r="526" spans="1:6" ht="12.75" customHeight="1" x14ac:dyDescent="0.25">
      <c r="A526" s="2"/>
      <c r="B526" s="2"/>
      <c r="C526" s="2"/>
      <c r="D526" s="2"/>
      <c r="E526" s="2"/>
      <c r="F526" s="2"/>
    </row>
    <row r="527" spans="1:6" ht="12.75" customHeight="1" x14ac:dyDescent="0.25">
      <c r="A527" s="2"/>
      <c r="B527" s="2"/>
      <c r="C527" s="2"/>
      <c r="D527" s="2"/>
      <c r="E527" s="2"/>
      <c r="F527" s="2"/>
    </row>
    <row r="528" spans="1:6" ht="12.75" customHeight="1" x14ac:dyDescent="0.25">
      <c r="A528" s="2"/>
      <c r="B528" s="2"/>
      <c r="C528" s="2"/>
      <c r="D528" s="2"/>
      <c r="E528" s="2"/>
      <c r="F528" s="2"/>
    </row>
    <row r="529" spans="1:6" ht="12.75" customHeight="1" x14ac:dyDescent="0.25">
      <c r="A529" s="2"/>
      <c r="B529" s="2"/>
      <c r="C529" s="2"/>
      <c r="D529" s="2"/>
      <c r="E529" s="2"/>
      <c r="F529" s="2"/>
    </row>
    <row r="530" spans="1:6" ht="12.75" customHeight="1" x14ac:dyDescent="0.25">
      <c r="A530" s="2"/>
      <c r="B530" s="2"/>
      <c r="C530" s="2"/>
      <c r="D530" s="2"/>
      <c r="E530" s="2"/>
      <c r="F530" s="2"/>
    </row>
    <row r="531" spans="1:6" ht="12.75" customHeight="1" x14ac:dyDescent="0.25">
      <c r="A531" s="2"/>
      <c r="B531" s="2"/>
      <c r="C531" s="2"/>
      <c r="D531" s="2"/>
      <c r="E531" s="2"/>
      <c r="F531" s="2"/>
    </row>
    <row r="532" spans="1:6" ht="12.75" customHeight="1" x14ac:dyDescent="0.25">
      <c r="A532" s="2"/>
      <c r="B532" s="2"/>
      <c r="C532" s="2"/>
      <c r="D532" s="2"/>
      <c r="E532" s="2"/>
      <c r="F532" s="2"/>
    </row>
    <row r="533" spans="1:6" ht="12.75" customHeight="1" x14ac:dyDescent="0.25">
      <c r="A533" s="2"/>
      <c r="B533" s="2"/>
      <c r="C533" s="2"/>
      <c r="D533" s="2"/>
      <c r="E533" s="2"/>
      <c r="F533" s="2"/>
    </row>
    <row r="534" spans="1:6" ht="12.75" customHeight="1" x14ac:dyDescent="0.25">
      <c r="A534" s="2"/>
      <c r="B534" s="2"/>
      <c r="C534" s="2"/>
      <c r="D534" s="2"/>
      <c r="E534" s="2"/>
      <c r="F534" s="2"/>
    </row>
    <row r="535" spans="1:6" ht="12.75" customHeight="1" x14ac:dyDescent="0.25">
      <c r="A535" s="2"/>
      <c r="B535" s="2"/>
      <c r="C535" s="2"/>
      <c r="D535" s="2"/>
      <c r="E535" s="2"/>
      <c r="F535" s="2"/>
    </row>
    <row r="536" spans="1:6" ht="12.75" customHeight="1" x14ac:dyDescent="0.25">
      <c r="A536" s="2"/>
      <c r="B536" s="2"/>
      <c r="C536" s="2"/>
      <c r="D536" s="2"/>
      <c r="E536" s="2"/>
      <c r="F536" s="2"/>
    </row>
    <row r="537" spans="1:6" ht="12.75" customHeight="1" x14ac:dyDescent="0.25">
      <c r="A537" s="2"/>
      <c r="B537" s="2"/>
      <c r="C537" s="2"/>
      <c r="D537" s="2"/>
      <c r="E537" s="2"/>
      <c r="F537" s="2"/>
    </row>
    <row r="538" spans="1:6" ht="12.75" customHeight="1" x14ac:dyDescent="0.25">
      <c r="A538" s="2"/>
      <c r="B538" s="2"/>
      <c r="C538" s="2"/>
      <c r="D538" s="2"/>
      <c r="E538" s="2"/>
      <c r="F538" s="2"/>
    </row>
    <row r="539" spans="1:6" ht="12.75" customHeight="1" x14ac:dyDescent="0.25">
      <c r="A539" s="2"/>
      <c r="B539" s="2"/>
      <c r="C539" s="2"/>
      <c r="D539" s="2"/>
      <c r="E539" s="2"/>
      <c r="F539" s="2"/>
    </row>
    <row r="540" spans="1:6" ht="12.75" customHeight="1" x14ac:dyDescent="0.25">
      <c r="A540" s="2"/>
      <c r="B540" s="2"/>
      <c r="C540" s="2"/>
      <c r="D540" s="2"/>
      <c r="E540" s="2"/>
      <c r="F540" s="2"/>
    </row>
    <row r="541" spans="1:6" ht="12.75" customHeight="1" x14ac:dyDescent="0.25">
      <c r="A541" s="2"/>
      <c r="B541" s="2"/>
      <c r="C541" s="2"/>
      <c r="D541" s="2"/>
      <c r="E541" s="2"/>
      <c r="F541" s="2"/>
    </row>
    <row r="542" spans="1:6" ht="12.75" customHeight="1" x14ac:dyDescent="0.25">
      <c r="A542" s="2"/>
      <c r="B542" s="2"/>
      <c r="C542" s="2"/>
      <c r="D542" s="2"/>
      <c r="E542" s="2"/>
      <c r="F542" s="2"/>
    </row>
    <row r="543" spans="1:6" ht="12.75" customHeight="1" x14ac:dyDescent="0.25">
      <c r="A543" s="2"/>
      <c r="B543" s="2"/>
      <c r="C543" s="2"/>
      <c r="D543" s="2"/>
      <c r="E543" s="2"/>
      <c r="F543" s="2"/>
    </row>
    <row r="544" spans="1:6" ht="12.75" customHeight="1" x14ac:dyDescent="0.25">
      <c r="A544" s="2"/>
      <c r="B544" s="2"/>
      <c r="C544" s="2"/>
      <c r="D544" s="2"/>
      <c r="E544" s="2"/>
      <c r="F544" s="2"/>
    </row>
    <row r="545" spans="1:6" ht="12.75" customHeight="1" x14ac:dyDescent="0.25">
      <c r="A545" s="2"/>
      <c r="B545" s="2"/>
      <c r="C545" s="2"/>
      <c r="D545" s="2"/>
      <c r="E545" s="2"/>
      <c r="F545" s="2"/>
    </row>
    <row r="546" spans="1:6" ht="12.75" customHeight="1" x14ac:dyDescent="0.25">
      <c r="A546" s="2"/>
      <c r="B546" s="2"/>
      <c r="C546" s="2"/>
      <c r="D546" s="2"/>
      <c r="E546" s="2"/>
      <c r="F546" s="2"/>
    </row>
    <row r="547" spans="1:6" ht="12.75" customHeight="1" x14ac:dyDescent="0.25">
      <c r="A547" s="2"/>
      <c r="B547" s="2"/>
      <c r="C547" s="2"/>
      <c r="D547" s="2"/>
      <c r="E547" s="2"/>
      <c r="F547" s="2"/>
    </row>
    <row r="548" spans="1:6" ht="12.75" customHeight="1" x14ac:dyDescent="0.25">
      <c r="A548" s="2"/>
      <c r="B548" s="2"/>
      <c r="C548" s="2"/>
      <c r="D548" s="2"/>
      <c r="E548" s="2"/>
      <c r="F548" s="2"/>
    </row>
    <row r="549" spans="1:6" ht="12.75" customHeight="1" x14ac:dyDescent="0.25">
      <c r="A549" s="2"/>
      <c r="B549" s="2"/>
      <c r="C549" s="2"/>
      <c r="D549" s="2"/>
      <c r="E549" s="2"/>
      <c r="F549" s="2"/>
    </row>
    <row r="550" spans="1:6" ht="12.75" customHeight="1" x14ac:dyDescent="0.25">
      <c r="A550" s="2"/>
      <c r="B550" s="2"/>
      <c r="C550" s="2"/>
      <c r="D550" s="2"/>
      <c r="E550" s="2"/>
      <c r="F550" s="2"/>
    </row>
    <row r="551" spans="1:6" ht="12.75" customHeight="1" x14ac:dyDescent="0.25">
      <c r="A551" s="2"/>
      <c r="B551" s="2"/>
      <c r="C551" s="2"/>
      <c r="D551" s="2"/>
      <c r="E551" s="2"/>
      <c r="F551" s="2"/>
    </row>
    <row r="552" spans="1:6" ht="12.75" customHeight="1" x14ac:dyDescent="0.25">
      <c r="A552" s="2"/>
      <c r="B552" s="2"/>
      <c r="C552" s="2"/>
      <c r="D552" s="2"/>
      <c r="E552" s="2"/>
      <c r="F552" s="2"/>
    </row>
    <row r="553" spans="1:6" ht="12.75" customHeight="1" x14ac:dyDescent="0.25">
      <c r="A553" s="2"/>
      <c r="B553" s="2"/>
      <c r="C553" s="2"/>
      <c r="D553" s="2"/>
      <c r="E553" s="2"/>
      <c r="F553" s="2"/>
    </row>
    <row r="554" spans="1:6" ht="12.75" customHeight="1" x14ac:dyDescent="0.25">
      <c r="A554" s="2"/>
      <c r="B554" s="2"/>
      <c r="C554" s="2"/>
      <c r="D554" s="2"/>
      <c r="E554" s="2"/>
      <c r="F554" s="2"/>
    </row>
    <row r="555" spans="1:6" ht="12.75" customHeight="1" x14ac:dyDescent="0.25">
      <c r="A555" s="2"/>
      <c r="B555" s="2"/>
      <c r="C555" s="2"/>
      <c r="D555" s="2"/>
      <c r="E555" s="2"/>
      <c r="F555" s="2"/>
    </row>
    <row r="556" spans="1:6" ht="12.75" customHeight="1" x14ac:dyDescent="0.25">
      <c r="A556" s="2"/>
      <c r="B556" s="2"/>
      <c r="C556" s="2"/>
      <c r="D556" s="2"/>
      <c r="E556" s="2"/>
      <c r="F556" s="2"/>
    </row>
    <row r="557" spans="1:6" ht="12.75" customHeight="1" x14ac:dyDescent="0.25">
      <c r="A557" s="2"/>
      <c r="B557" s="2"/>
      <c r="C557" s="2"/>
      <c r="D557" s="2"/>
      <c r="E557" s="2"/>
      <c r="F557" s="2"/>
    </row>
    <row r="558" spans="1:6" ht="12.75" customHeight="1" x14ac:dyDescent="0.25">
      <c r="A558" s="2"/>
      <c r="B558" s="2"/>
      <c r="C558" s="2"/>
      <c r="D558" s="2"/>
      <c r="E558" s="2"/>
      <c r="F558" s="2"/>
    </row>
    <row r="559" spans="1:6" ht="12.75" customHeight="1" x14ac:dyDescent="0.25">
      <c r="A559" s="2"/>
      <c r="B559" s="2"/>
      <c r="C559" s="2"/>
      <c r="D559" s="2"/>
      <c r="E559" s="2"/>
      <c r="F559" s="2"/>
    </row>
    <row r="560" spans="1:6" ht="12.75" customHeight="1" x14ac:dyDescent="0.25">
      <c r="A560" s="2"/>
      <c r="B560" s="2"/>
      <c r="C560" s="2"/>
      <c r="D560" s="2"/>
      <c r="E560" s="2"/>
      <c r="F560" s="2"/>
    </row>
    <row r="561" spans="1:6" ht="12.75" customHeight="1" x14ac:dyDescent="0.25">
      <c r="A561" s="2"/>
      <c r="B561" s="2"/>
      <c r="C561" s="2"/>
      <c r="D561" s="2"/>
      <c r="E561" s="2"/>
      <c r="F561" s="2"/>
    </row>
    <row r="562" spans="1:6" ht="12.75" customHeight="1" x14ac:dyDescent="0.25">
      <c r="A562" s="2"/>
      <c r="B562" s="2"/>
      <c r="C562" s="2"/>
      <c r="D562" s="2"/>
      <c r="E562" s="2"/>
      <c r="F562" s="2"/>
    </row>
    <row r="563" spans="1:6" ht="12.75" customHeight="1" x14ac:dyDescent="0.25">
      <c r="A563" s="2"/>
      <c r="B563" s="2"/>
      <c r="C563" s="2"/>
      <c r="D563" s="2"/>
      <c r="E563" s="2"/>
      <c r="F563" s="2"/>
    </row>
    <row r="564" spans="1:6" ht="12.75" customHeight="1" x14ac:dyDescent="0.25">
      <c r="A564" s="2"/>
      <c r="B564" s="2"/>
      <c r="C564" s="2"/>
      <c r="D564" s="2"/>
      <c r="E564" s="2"/>
      <c r="F564" s="2"/>
    </row>
    <row r="565" spans="1:6" ht="12.75" customHeight="1" x14ac:dyDescent="0.25">
      <c r="A565" s="2"/>
      <c r="B565" s="2"/>
      <c r="C565" s="2"/>
      <c r="D565" s="2"/>
      <c r="E565" s="2"/>
      <c r="F565" s="2"/>
    </row>
    <row r="566" spans="1:6" ht="12.75" customHeight="1" x14ac:dyDescent="0.25">
      <c r="A566" s="2"/>
      <c r="B566" s="2"/>
      <c r="C566" s="2"/>
      <c r="D566" s="2"/>
      <c r="E566" s="2"/>
      <c r="F566" s="2"/>
    </row>
    <row r="567" spans="1:6" ht="12.75" customHeight="1" x14ac:dyDescent="0.25">
      <c r="A567" s="2"/>
      <c r="B567" s="2"/>
      <c r="C567" s="2"/>
      <c r="D567" s="2"/>
      <c r="E567" s="2"/>
      <c r="F567" s="2"/>
    </row>
    <row r="568" spans="1:6" ht="12.75" customHeight="1" x14ac:dyDescent="0.25">
      <c r="A568" s="2"/>
      <c r="B568" s="2"/>
      <c r="C568" s="2"/>
      <c r="D568" s="2"/>
      <c r="E568" s="2"/>
      <c r="F568" s="2"/>
    </row>
    <row r="569" spans="1:6" ht="12.75" customHeight="1" x14ac:dyDescent="0.25">
      <c r="A569" s="2"/>
      <c r="B569" s="2"/>
      <c r="C569" s="2"/>
      <c r="D569" s="2"/>
      <c r="E569" s="2"/>
      <c r="F569" s="2"/>
    </row>
    <row r="570" spans="1:6" ht="12.75" customHeight="1" x14ac:dyDescent="0.25">
      <c r="A570" s="2"/>
      <c r="B570" s="2"/>
      <c r="C570" s="2"/>
      <c r="D570" s="2"/>
      <c r="E570" s="2"/>
      <c r="F570" s="2"/>
    </row>
    <row r="571" spans="1:6" ht="12.75" customHeight="1" x14ac:dyDescent="0.25">
      <c r="A571" s="2"/>
      <c r="B571" s="2"/>
      <c r="C571" s="2"/>
      <c r="D571" s="2"/>
      <c r="E571" s="2"/>
      <c r="F571" s="2"/>
    </row>
    <row r="572" spans="1:6" ht="12.75" customHeight="1" x14ac:dyDescent="0.25">
      <c r="A572" s="2"/>
      <c r="B572" s="2"/>
      <c r="C572" s="2"/>
      <c r="D572" s="2"/>
      <c r="E572" s="2"/>
      <c r="F572" s="2"/>
    </row>
    <row r="573" spans="1:6" ht="12.75" customHeight="1" x14ac:dyDescent="0.25">
      <c r="A573" s="2"/>
      <c r="B573" s="2"/>
      <c r="C573" s="2"/>
      <c r="D573" s="2"/>
      <c r="E573" s="2"/>
      <c r="F573" s="2"/>
    </row>
    <row r="574" spans="1:6" ht="12.75" customHeight="1" x14ac:dyDescent="0.25">
      <c r="A574" s="2"/>
      <c r="B574" s="2"/>
      <c r="C574" s="2"/>
      <c r="D574" s="2"/>
      <c r="E574" s="2"/>
      <c r="F574" s="2"/>
    </row>
    <row r="575" spans="1:6" ht="12.75" customHeight="1" x14ac:dyDescent="0.25">
      <c r="A575" s="2"/>
      <c r="B575" s="2"/>
      <c r="C575" s="2"/>
      <c r="D575" s="2"/>
      <c r="E575" s="2"/>
      <c r="F575" s="2"/>
    </row>
    <row r="576" spans="1:6" ht="12.75" customHeight="1" x14ac:dyDescent="0.25">
      <c r="A576" s="2"/>
      <c r="B576" s="2"/>
      <c r="C576" s="2"/>
      <c r="D576" s="2"/>
      <c r="E576" s="2"/>
      <c r="F576" s="2"/>
    </row>
    <row r="577" spans="1:6" ht="12.75" customHeight="1" x14ac:dyDescent="0.25">
      <c r="A577" s="2"/>
      <c r="B577" s="2"/>
      <c r="C577" s="2"/>
      <c r="D577" s="2"/>
      <c r="E577" s="2"/>
      <c r="F577" s="2"/>
    </row>
    <row r="578" spans="1:6" ht="12.75" customHeight="1" x14ac:dyDescent="0.25">
      <c r="A578" s="2"/>
      <c r="B578" s="2"/>
      <c r="C578" s="2"/>
      <c r="D578" s="2"/>
      <c r="E578" s="2"/>
      <c r="F578" s="2"/>
    </row>
    <row r="579" spans="1:6" ht="12.75" customHeight="1" x14ac:dyDescent="0.25">
      <c r="A579" s="2"/>
      <c r="B579" s="2"/>
      <c r="C579" s="2"/>
      <c r="D579" s="2"/>
      <c r="E579" s="2"/>
      <c r="F579" s="2"/>
    </row>
    <row r="580" spans="1:6" ht="12.75" customHeight="1" x14ac:dyDescent="0.25">
      <c r="A580" s="2"/>
      <c r="B580" s="2"/>
      <c r="C580" s="2"/>
      <c r="D580" s="2"/>
      <c r="E580" s="2"/>
      <c r="F580" s="2"/>
    </row>
    <row r="581" spans="1:6" ht="12.75" customHeight="1" x14ac:dyDescent="0.25">
      <c r="A581" s="2"/>
      <c r="B581" s="2"/>
      <c r="C581" s="2"/>
      <c r="D581" s="2"/>
      <c r="E581" s="2"/>
      <c r="F581" s="2"/>
    </row>
    <row r="582" spans="1:6" ht="12.75" customHeight="1" x14ac:dyDescent="0.25">
      <c r="A582" s="2"/>
      <c r="B582" s="2"/>
      <c r="C582" s="2"/>
      <c r="D582" s="2"/>
      <c r="E582" s="2"/>
      <c r="F582" s="2"/>
    </row>
    <row r="583" spans="1:6" ht="12.75" customHeight="1" x14ac:dyDescent="0.25">
      <c r="A583" s="2"/>
      <c r="B583" s="2"/>
      <c r="C583" s="2"/>
      <c r="D583" s="2"/>
      <c r="E583" s="2"/>
      <c r="F583" s="2"/>
    </row>
    <row r="584" spans="1:6" ht="12.75" customHeight="1" x14ac:dyDescent="0.25">
      <c r="A584" s="2"/>
      <c r="B584" s="2"/>
      <c r="C584" s="2"/>
      <c r="D584" s="2"/>
      <c r="E584" s="2"/>
      <c r="F584" s="2"/>
    </row>
    <row r="585" spans="1:6" ht="12.75" customHeight="1" x14ac:dyDescent="0.25">
      <c r="A585" s="2"/>
      <c r="B585" s="2"/>
      <c r="C585" s="2"/>
      <c r="D585" s="2"/>
      <c r="E585" s="2"/>
      <c r="F585" s="2"/>
    </row>
    <row r="586" spans="1:6" ht="12.75" customHeight="1" x14ac:dyDescent="0.25">
      <c r="A586" s="2"/>
      <c r="B586" s="2"/>
      <c r="C586" s="2"/>
      <c r="D586" s="2"/>
      <c r="E586" s="2"/>
      <c r="F586" s="2"/>
    </row>
    <row r="587" spans="1:6" ht="12.75" customHeight="1" x14ac:dyDescent="0.25">
      <c r="A587" s="2"/>
      <c r="B587" s="2"/>
      <c r="C587" s="2"/>
      <c r="D587" s="2"/>
      <c r="E587" s="2"/>
      <c r="F587" s="2"/>
    </row>
    <row r="588" spans="1:6" ht="12.75" customHeight="1" x14ac:dyDescent="0.25">
      <c r="A588" s="2"/>
      <c r="B588" s="2"/>
      <c r="C588" s="2"/>
      <c r="D588" s="2"/>
      <c r="E588" s="2"/>
      <c r="F588" s="2"/>
    </row>
    <row r="589" spans="1:6" ht="12.75" customHeight="1" x14ac:dyDescent="0.25">
      <c r="A589" s="2"/>
      <c r="B589" s="2"/>
      <c r="C589" s="2"/>
      <c r="D589" s="2"/>
      <c r="E589" s="2"/>
      <c r="F589" s="2"/>
    </row>
    <row r="590" spans="1:6" ht="12.75" customHeight="1" x14ac:dyDescent="0.25">
      <c r="A590" s="2"/>
      <c r="B590" s="2"/>
      <c r="C590" s="2"/>
      <c r="D590" s="2"/>
      <c r="E590" s="2"/>
      <c r="F590" s="2"/>
    </row>
    <row r="591" spans="1:6" ht="12.75" customHeight="1" x14ac:dyDescent="0.25">
      <c r="A591" s="2"/>
      <c r="B591" s="2"/>
      <c r="C591" s="2"/>
      <c r="D591" s="2"/>
      <c r="E591" s="2"/>
      <c r="F591" s="2"/>
    </row>
    <row r="592" spans="1:6" ht="12.75" customHeight="1" x14ac:dyDescent="0.25">
      <c r="A592" s="2"/>
      <c r="B592" s="2"/>
      <c r="C592" s="2"/>
      <c r="D592" s="2"/>
      <c r="E592" s="2"/>
      <c r="F592" s="2"/>
    </row>
    <row r="593" spans="1:6" ht="12.75" customHeight="1" x14ac:dyDescent="0.25">
      <c r="A593" s="2"/>
      <c r="B593" s="2"/>
      <c r="C593" s="2"/>
      <c r="D593" s="2"/>
      <c r="E593" s="2"/>
      <c r="F593" s="2"/>
    </row>
    <row r="594" spans="1:6" ht="12.75" customHeight="1" x14ac:dyDescent="0.25">
      <c r="A594" s="2"/>
      <c r="B594" s="2"/>
      <c r="C594" s="2"/>
      <c r="D594" s="2"/>
      <c r="E594" s="2"/>
      <c r="F594" s="2"/>
    </row>
    <row r="595" spans="1:6" ht="12.75" customHeight="1" x14ac:dyDescent="0.25">
      <c r="A595" s="2"/>
      <c r="B595" s="2"/>
      <c r="C595" s="2"/>
      <c r="D595" s="2"/>
      <c r="E595" s="2"/>
      <c r="F595" s="2"/>
    </row>
    <row r="596" spans="1:6" ht="12.75" customHeight="1" x14ac:dyDescent="0.25">
      <c r="A596" s="2"/>
      <c r="B596" s="2"/>
      <c r="C596" s="2"/>
      <c r="D596" s="2"/>
      <c r="E596" s="2"/>
      <c r="F596" s="2"/>
    </row>
    <row r="597" spans="1:6" ht="12.75" customHeight="1" x14ac:dyDescent="0.25">
      <c r="A597" s="2"/>
      <c r="B597" s="2"/>
      <c r="C597" s="2"/>
      <c r="D597" s="2"/>
      <c r="E597" s="2"/>
      <c r="F597" s="2"/>
    </row>
    <row r="598" spans="1:6" ht="12.75" customHeight="1" x14ac:dyDescent="0.25">
      <c r="A598" s="2"/>
      <c r="B598" s="2"/>
      <c r="C598" s="2"/>
      <c r="D598" s="2"/>
      <c r="E598" s="2"/>
      <c r="F598" s="2"/>
    </row>
    <row r="599" spans="1:6" ht="12.75" customHeight="1" x14ac:dyDescent="0.25">
      <c r="A599" s="2"/>
      <c r="B599" s="2"/>
      <c r="C599" s="2"/>
      <c r="D599" s="2"/>
      <c r="E599" s="2"/>
      <c r="F599" s="2"/>
    </row>
    <row r="600" spans="1:6" ht="12.75" customHeight="1" x14ac:dyDescent="0.25">
      <c r="A600" s="2"/>
      <c r="B600" s="2"/>
      <c r="C600" s="2"/>
      <c r="D600" s="2"/>
      <c r="E600" s="2"/>
      <c r="F600" s="2"/>
    </row>
    <row r="601" spans="1:6" ht="12.75" customHeight="1" x14ac:dyDescent="0.25">
      <c r="A601" s="2"/>
      <c r="B601" s="2"/>
      <c r="C601" s="2"/>
      <c r="D601" s="2"/>
      <c r="E601" s="2"/>
      <c r="F601" s="2"/>
    </row>
    <row r="602" spans="1:6" ht="12.75" customHeight="1" x14ac:dyDescent="0.25">
      <c r="A602" s="2"/>
      <c r="B602" s="2"/>
      <c r="C602" s="2"/>
      <c r="D602" s="2"/>
      <c r="E602" s="2"/>
      <c r="F602" s="2"/>
    </row>
    <row r="603" spans="1:6" ht="12.75" customHeight="1" x14ac:dyDescent="0.25">
      <c r="A603" s="2"/>
      <c r="B603" s="2"/>
      <c r="C603" s="2"/>
      <c r="D603" s="2"/>
      <c r="E603" s="2"/>
      <c r="F603" s="2"/>
    </row>
    <row r="604" spans="1:6" ht="12.75" customHeight="1" x14ac:dyDescent="0.25">
      <c r="A604" s="2"/>
      <c r="B604" s="2"/>
      <c r="C604" s="2"/>
      <c r="D604" s="2"/>
      <c r="E604" s="2"/>
      <c r="F604" s="2"/>
    </row>
    <row r="605" spans="1:6" ht="12.75" customHeight="1" x14ac:dyDescent="0.25">
      <c r="A605" s="2"/>
      <c r="B605" s="2"/>
      <c r="C605" s="2"/>
      <c r="D605" s="2"/>
      <c r="E605" s="2"/>
      <c r="F605" s="2"/>
    </row>
    <row r="606" spans="1:6" ht="12.75" customHeight="1" x14ac:dyDescent="0.25">
      <c r="A606" s="2"/>
      <c r="B606" s="2"/>
      <c r="C606" s="2"/>
      <c r="D606" s="2"/>
      <c r="E606" s="2"/>
      <c r="F606" s="2"/>
    </row>
    <row r="607" spans="1:6" ht="12.75" customHeight="1" x14ac:dyDescent="0.25">
      <c r="A607" s="2"/>
      <c r="B607" s="2"/>
      <c r="C607" s="2"/>
      <c r="D607" s="2"/>
      <c r="E607" s="2"/>
      <c r="F607" s="2"/>
    </row>
    <row r="608" spans="1:6" ht="12.75" customHeight="1" x14ac:dyDescent="0.25">
      <c r="A608" s="2"/>
      <c r="B608" s="2"/>
      <c r="C608" s="2"/>
      <c r="D608" s="2"/>
      <c r="E608" s="2"/>
      <c r="F608" s="2"/>
    </row>
    <row r="609" spans="1:6" ht="12.75" customHeight="1" x14ac:dyDescent="0.25">
      <c r="A609" s="2"/>
      <c r="B609" s="2"/>
      <c r="C609" s="2"/>
      <c r="D609" s="2"/>
      <c r="E609" s="2"/>
      <c r="F609" s="2"/>
    </row>
    <row r="610" spans="1:6" ht="12.75" customHeight="1" x14ac:dyDescent="0.25">
      <c r="A610" s="2"/>
      <c r="B610" s="2"/>
      <c r="C610" s="2"/>
      <c r="D610" s="2"/>
      <c r="E610" s="2"/>
      <c r="F610" s="2"/>
    </row>
    <row r="611" spans="1:6" ht="12.75" customHeight="1" x14ac:dyDescent="0.25">
      <c r="A611" s="2"/>
      <c r="B611" s="2"/>
      <c r="C611" s="2"/>
      <c r="D611" s="2"/>
      <c r="E611" s="2"/>
      <c r="F611" s="2"/>
    </row>
    <row r="612" spans="1:6" ht="12.75" customHeight="1" x14ac:dyDescent="0.25">
      <c r="A612" s="2"/>
      <c r="B612" s="2"/>
      <c r="C612" s="2"/>
      <c r="D612" s="2"/>
      <c r="E612" s="2"/>
      <c r="F612" s="2"/>
    </row>
    <row r="613" spans="1:6" ht="12.75" customHeight="1" x14ac:dyDescent="0.25">
      <c r="A613" s="2"/>
      <c r="B613" s="2"/>
      <c r="C613" s="2"/>
      <c r="D613" s="2"/>
      <c r="E613" s="2"/>
      <c r="F613" s="2"/>
    </row>
    <row r="614" spans="1:6" ht="12.75" customHeight="1" x14ac:dyDescent="0.25">
      <c r="A614" s="2"/>
      <c r="B614" s="2"/>
      <c r="C614" s="2"/>
      <c r="D614" s="2"/>
      <c r="E614" s="2"/>
      <c r="F614" s="2"/>
    </row>
    <row r="615" spans="1:6" ht="12.75" customHeight="1" x14ac:dyDescent="0.25">
      <c r="A615" s="2"/>
      <c r="B615" s="2"/>
      <c r="C615" s="2"/>
      <c r="D615" s="2"/>
      <c r="E615" s="2"/>
      <c r="F615" s="2"/>
    </row>
    <row r="616" spans="1:6" ht="12.75" customHeight="1" x14ac:dyDescent="0.25">
      <c r="A616" s="2"/>
      <c r="B616" s="2"/>
      <c r="C616" s="2"/>
      <c r="D616" s="2"/>
      <c r="E616" s="2"/>
      <c r="F616" s="2"/>
    </row>
    <row r="617" spans="1:6" ht="12.75" customHeight="1" x14ac:dyDescent="0.25">
      <c r="A617" s="2"/>
      <c r="B617" s="2"/>
      <c r="C617" s="2"/>
      <c r="D617" s="2"/>
      <c r="E617" s="2"/>
      <c r="F617" s="2"/>
    </row>
    <row r="618" spans="1:6" ht="12.75" customHeight="1" x14ac:dyDescent="0.25">
      <c r="A618" s="2"/>
      <c r="B618" s="2"/>
      <c r="C618" s="2"/>
      <c r="D618" s="2"/>
      <c r="E618" s="2"/>
      <c r="F618" s="2"/>
    </row>
    <row r="619" spans="1:6" ht="12.75" customHeight="1" x14ac:dyDescent="0.25">
      <c r="A619" s="2"/>
      <c r="B619" s="2"/>
      <c r="C619" s="2"/>
      <c r="D619" s="2"/>
      <c r="E619" s="2"/>
      <c r="F619" s="2"/>
    </row>
    <row r="620" spans="1:6" ht="12.75" customHeight="1" x14ac:dyDescent="0.25">
      <c r="A620" s="2"/>
      <c r="B620" s="2"/>
      <c r="C620" s="2"/>
      <c r="D620" s="2"/>
      <c r="E620" s="2"/>
      <c r="F620" s="2"/>
    </row>
    <row r="621" spans="1:6" ht="12.75" customHeight="1" x14ac:dyDescent="0.25">
      <c r="A621" s="2"/>
      <c r="B621" s="2"/>
      <c r="C621" s="2"/>
      <c r="D621" s="2"/>
      <c r="E621" s="2"/>
      <c r="F621" s="2"/>
    </row>
    <row r="622" spans="1:6" ht="12.75" customHeight="1" x14ac:dyDescent="0.25">
      <c r="A622" s="2"/>
      <c r="B622" s="2"/>
      <c r="C622" s="2"/>
      <c r="D622" s="2"/>
      <c r="E622" s="2"/>
      <c r="F622" s="2"/>
    </row>
    <row r="623" spans="1:6" ht="12.75" customHeight="1" x14ac:dyDescent="0.25">
      <c r="A623" s="2"/>
      <c r="B623" s="2"/>
      <c r="C623" s="2"/>
      <c r="D623" s="2"/>
      <c r="E623" s="2"/>
      <c r="F623" s="2"/>
    </row>
    <row r="624" spans="1:6" ht="12.75" customHeight="1" x14ac:dyDescent="0.25">
      <c r="A624" s="2"/>
      <c r="B624" s="2"/>
      <c r="C624" s="2"/>
      <c r="D624" s="2"/>
      <c r="E624" s="2"/>
      <c r="F624" s="2"/>
    </row>
    <row r="625" spans="1:6" ht="12.75" customHeight="1" x14ac:dyDescent="0.25">
      <c r="A625" s="2"/>
      <c r="B625" s="2"/>
      <c r="C625" s="2"/>
      <c r="D625" s="2"/>
      <c r="E625" s="2"/>
      <c r="F625" s="2"/>
    </row>
    <row r="626" spans="1:6" ht="12.75" customHeight="1" x14ac:dyDescent="0.25">
      <c r="A626" s="2"/>
      <c r="B626" s="2"/>
      <c r="C626" s="2"/>
      <c r="D626" s="2"/>
      <c r="E626" s="2"/>
      <c r="F626" s="2"/>
    </row>
    <row r="627" spans="1:6" ht="12.75" customHeight="1" x14ac:dyDescent="0.25">
      <c r="A627" s="2"/>
      <c r="B627" s="2"/>
      <c r="C627" s="2"/>
      <c r="D627" s="2"/>
      <c r="E627" s="2"/>
      <c r="F627" s="2"/>
    </row>
    <row r="628" spans="1:6" ht="12.75" customHeight="1" x14ac:dyDescent="0.25">
      <c r="A628" s="2"/>
      <c r="B628" s="2"/>
      <c r="C628" s="2"/>
      <c r="D628" s="2"/>
      <c r="E628" s="2"/>
      <c r="F628" s="2"/>
    </row>
    <row r="629" spans="1:6" ht="12.75" customHeight="1" x14ac:dyDescent="0.25">
      <c r="A629" s="2"/>
      <c r="B629" s="2"/>
      <c r="C629" s="2"/>
      <c r="D629" s="2"/>
      <c r="E629" s="2"/>
      <c r="F629" s="2"/>
    </row>
    <row r="630" spans="1:6" ht="12.75" customHeight="1" x14ac:dyDescent="0.25">
      <c r="A630" s="2"/>
      <c r="B630" s="2"/>
      <c r="C630" s="2"/>
      <c r="D630" s="2"/>
      <c r="E630" s="2"/>
      <c r="F630" s="2"/>
    </row>
    <row r="631" spans="1:6" ht="12.75" customHeight="1" x14ac:dyDescent="0.25">
      <c r="A631" s="2"/>
      <c r="B631" s="2"/>
      <c r="C631" s="2"/>
      <c r="D631" s="2"/>
      <c r="E631" s="2"/>
      <c r="F631" s="2"/>
    </row>
    <row r="632" spans="1:6" ht="12.75" customHeight="1" x14ac:dyDescent="0.25">
      <c r="A632" s="2"/>
      <c r="B632" s="2"/>
      <c r="C632" s="2"/>
      <c r="D632" s="2"/>
      <c r="E632" s="2"/>
      <c r="F632" s="2"/>
    </row>
    <row r="633" spans="1:6" ht="12.75" customHeight="1" x14ac:dyDescent="0.25">
      <c r="A633" s="2"/>
      <c r="B633" s="2"/>
      <c r="C633" s="2"/>
      <c r="D633" s="2"/>
      <c r="E633" s="2"/>
      <c r="F633" s="2"/>
    </row>
    <row r="634" spans="1:6" ht="12.75" customHeight="1" x14ac:dyDescent="0.25">
      <c r="A634" s="2"/>
      <c r="B634" s="2"/>
      <c r="C634" s="2"/>
      <c r="D634" s="2"/>
      <c r="E634" s="2"/>
      <c r="F634" s="2"/>
    </row>
    <row r="635" spans="1:6" ht="12.75" customHeight="1" x14ac:dyDescent="0.25">
      <c r="A635" s="2"/>
      <c r="B635" s="2"/>
      <c r="C635" s="2"/>
      <c r="D635" s="2"/>
      <c r="E635" s="2"/>
      <c r="F635" s="2"/>
    </row>
    <row r="636" spans="1:6" ht="12.75" customHeight="1" x14ac:dyDescent="0.25">
      <c r="A636" s="2"/>
      <c r="B636" s="2"/>
      <c r="C636" s="2"/>
      <c r="D636" s="2"/>
      <c r="E636" s="2"/>
      <c r="F636" s="2"/>
    </row>
    <row r="637" spans="1:6" ht="12.75" customHeight="1" x14ac:dyDescent="0.25">
      <c r="A637" s="2"/>
      <c r="B637" s="2"/>
      <c r="C637" s="2"/>
      <c r="D637" s="2"/>
      <c r="E637" s="2"/>
      <c r="F637" s="2"/>
    </row>
    <row r="638" spans="1:6" ht="12.75" customHeight="1" x14ac:dyDescent="0.25">
      <c r="A638" s="2"/>
      <c r="B638" s="2"/>
      <c r="C638" s="2"/>
      <c r="D638" s="2"/>
      <c r="E638" s="2"/>
      <c r="F638" s="2"/>
    </row>
    <row r="639" spans="1:6" ht="12.75" customHeight="1" x14ac:dyDescent="0.25">
      <c r="A639" s="2"/>
      <c r="B639" s="2"/>
      <c r="C639" s="2"/>
      <c r="D639" s="2"/>
      <c r="E639" s="2"/>
      <c r="F639" s="2"/>
    </row>
    <row r="640" spans="1:6" ht="12.75" customHeight="1" x14ac:dyDescent="0.25">
      <c r="A640" s="2"/>
      <c r="B640" s="2"/>
      <c r="C640" s="2"/>
      <c r="D640" s="2"/>
      <c r="E640" s="2"/>
      <c r="F640" s="2"/>
    </row>
    <row r="641" spans="1:6" ht="12.75" customHeight="1" x14ac:dyDescent="0.25">
      <c r="A641" s="2"/>
      <c r="B641" s="2"/>
      <c r="C641" s="2"/>
      <c r="D641" s="2"/>
      <c r="E641" s="2"/>
      <c r="F641" s="2"/>
    </row>
    <row r="642" spans="1:6" ht="12.75" customHeight="1" x14ac:dyDescent="0.25">
      <c r="A642" s="2"/>
      <c r="B642" s="2"/>
      <c r="C642" s="2"/>
      <c r="D642" s="2"/>
      <c r="E642" s="2"/>
      <c r="F642" s="2"/>
    </row>
    <row r="643" spans="1:6" ht="12.75" customHeight="1" x14ac:dyDescent="0.25">
      <c r="A643" s="2"/>
      <c r="B643" s="2"/>
      <c r="C643" s="2"/>
      <c r="D643" s="2"/>
      <c r="E643" s="2"/>
      <c r="F643" s="2"/>
    </row>
    <row r="644" spans="1:6" ht="12.75" customHeight="1" x14ac:dyDescent="0.25">
      <c r="A644" s="2"/>
      <c r="B644" s="2"/>
      <c r="C644" s="2"/>
      <c r="D644" s="2"/>
      <c r="E644" s="2"/>
      <c r="F644" s="2"/>
    </row>
    <row r="645" spans="1:6" ht="12.75" customHeight="1" x14ac:dyDescent="0.25">
      <c r="A645" s="2"/>
      <c r="B645" s="2"/>
      <c r="C645" s="2"/>
      <c r="D645" s="2"/>
      <c r="E645" s="2"/>
      <c r="F645" s="2"/>
    </row>
    <row r="646" spans="1:6" ht="12.75" customHeight="1" x14ac:dyDescent="0.25">
      <c r="A646" s="2"/>
      <c r="B646" s="2"/>
      <c r="C646" s="2"/>
      <c r="D646" s="2"/>
      <c r="E646" s="2"/>
      <c r="F646" s="2"/>
    </row>
    <row r="647" spans="1:6" ht="12.75" customHeight="1" x14ac:dyDescent="0.25">
      <c r="A647" s="2"/>
      <c r="B647" s="2"/>
      <c r="C647" s="2"/>
      <c r="D647" s="2"/>
      <c r="E647" s="2"/>
      <c r="F647" s="2"/>
    </row>
    <row r="648" spans="1:6" ht="12.75" customHeight="1" x14ac:dyDescent="0.25">
      <c r="A648" s="2"/>
      <c r="B648" s="2"/>
      <c r="C648" s="2"/>
      <c r="D648" s="2"/>
      <c r="E648" s="2"/>
      <c r="F648" s="2"/>
    </row>
    <row r="649" spans="1:6" ht="12.75" customHeight="1" x14ac:dyDescent="0.25">
      <c r="A649" s="2"/>
      <c r="B649" s="2"/>
      <c r="C649" s="2"/>
      <c r="D649" s="2"/>
      <c r="E649" s="2"/>
      <c r="F649" s="2"/>
    </row>
    <row r="650" spans="1:6" ht="12.75" customHeight="1" x14ac:dyDescent="0.25">
      <c r="A650" s="2"/>
      <c r="B650" s="2"/>
      <c r="C650" s="2"/>
      <c r="D650" s="2"/>
      <c r="E650" s="2"/>
      <c r="F650" s="2"/>
    </row>
    <row r="651" spans="1:6" ht="12.75" customHeight="1" x14ac:dyDescent="0.25">
      <c r="A651" s="2"/>
      <c r="B651" s="2"/>
      <c r="C651" s="2"/>
      <c r="D651" s="2"/>
      <c r="E651" s="2"/>
      <c r="F651" s="2"/>
    </row>
    <row r="652" spans="1:6" ht="12.75" customHeight="1" x14ac:dyDescent="0.25">
      <c r="A652" s="2"/>
      <c r="B652" s="2"/>
      <c r="C652" s="2"/>
      <c r="D652" s="2"/>
      <c r="E652" s="2"/>
      <c r="F652" s="2"/>
    </row>
    <row r="653" spans="1:6" ht="12.75" customHeight="1" x14ac:dyDescent="0.25">
      <c r="A653" s="2"/>
      <c r="B653" s="2"/>
      <c r="C653" s="2"/>
      <c r="D653" s="2"/>
      <c r="E653" s="2"/>
      <c r="F653" s="2"/>
    </row>
    <row r="654" spans="1:6" ht="12.75" customHeight="1" x14ac:dyDescent="0.25">
      <c r="A654" s="2"/>
      <c r="B654" s="2"/>
      <c r="C654" s="2"/>
      <c r="D654" s="2"/>
      <c r="E654" s="2"/>
      <c r="F654" s="2"/>
    </row>
    <row r="655" spans="1:6" ht="12.75" customHeight="1" x14ac:dyDescent="0.25">
      <c r="A655" s="2"/>
      <c r="B655" s="2"/>
      <c r="C655" s="2"/>
      <c r="D655" s="2"/>
      <c r="E655" s="2"/>
      <c r="F655" s="2"/>
    </row>
    <row r="656" spans="1:6" ht="12.75" customHeight="1" x14ac:dyDescent="0.25">
      <c r="A656" s="2"/>
      <c r="B656" s="2"/>
      <c r="C656" s="2"/>
      <c r="D656" s="2"/>
      <c r="E656" s="2"/>
      <c r="F656" s="2"/>
    </row>
    <row r="657" spans="1:6" ht="12.75" customHeight="1" x14ac:dyDescent="0.25">
      <c r="A657" s="2"/>
      <c r="B657" s="2"/>
      <c r="C657" s="2"/>
      <c r="D657" s="2"/>
      <c r="E657" s="2"/>
      <c r="F657" s="2"/>
    </row>
    <row r="658" spans="1:6" ht="12.75" customHeight="1" x14ac:dyDescent="0.25">
      <c r="A658" s="2"/>
      <c r="B658" s="2"/>
      <c r="C658" s="2"/>
      <c r="D658" s="2"/>
      <c r="E658" s="2"/>
      <c r="F658" s="2"/>
    </row>
    <row r="659" spans="1:6" ht="12.75" customHeight="1" x14ac:dyDescent="0.25">
      <c r="A659" s="2"/>
      <c r="B659" s="2"/>
      <c r="C659" s="2"/>
      <c r="D659" s="2"/>
      <c r="E659" s="2"/>
      <c r="F659" s="2"/>
    </row>
    <row r="660" spans="1:6" ht="12.75" customHeight="1" x14ac:dyDescent="0.25">
      <c r="A660" s="2"/>
      <c r="B660" s="2"/>
      <c r="C660" s="2"/>
      <c r="D660" s="2"/>
      <c r="E660" s="2"/>
      <c r="F660" s="2"/>
    </row>
    <row r="661" spans="1:6" ht="12.75" customHeight="1" x14ac:dyDescent="0.25">
      <c r="A661" s="2"/>
      <c r="B661" s="2"/>
      <c r="C661" s="2"/>
      <c r="D661" s="2"/>
      <c r="E661" s="2"/>
      <c r="F661" s="2"/>
    </row>
    <row r="662" spans="1:6" ht="12.75" customHeight="1" x14ac:dyDescent="0.25">
      <c r="A662" s="2"/>
      <c r="B662" s="2"/>
      <c r="C662" s="2"/>
      <c r="D662" s="2"/>
      <c r="E662" s="2"/>
      <c r="F662" s="2"/>
    </row>
    <row r="663" spans="1:6" ht="12.75" customHeight="1" x14ac:dyDescent="0.25">
      <c r="A663" s="2"/>
      <c r="B663" s="2"/>
      <c r="C663" s="2"/>
      <c r="D663" s="2"/>
      <c r="E663" s="2"/>
      <c r="F663" s="2"/>
    </row>
    <row r="664" spans="1:6" ht="12.75" customHeight="1" x14ac:dyDescent="0.25">
      <c r="A664" s="2"/>
      <c r="B664" s="2"/>
      <c r="C664" s="2"/>
      <c r="D664" s="2"/>
      <c r="E664" s="2"/>
      <c r="F664" s="2"/>
    </row>
    <row r="665" spans="1:6" ht="12.75" customHeight="1" x14ac:dyDescent="0.25">
      <c r="A665" s="2"/>
      <c r="B665" s="2"/>
      <c r="C665" s="2"/>
      <c r="D665" s="2"/>
      <c r="E665" s="2"/>
      <c r="F665" s="2"/>
    </row>
    <row r="666" spans="1:6" ht="12.75" customHeight="1" x14ac:dyDescent="0.25">
      <c r="A666" s="2"/>
      <c r="B666" s="2"/>
      <c r="C666" s="2"/>
      <c r="D666" s="2"/>
      <c r="E666" s="2"/>
      <c r="F666" s="2"/>
    </row>
    <row r="667" spans="1:6" ht="12.75" customHeight="1" x14ac:dyDescent="0.25">
      <c r="A667" s="2"/>
      <c r="B667" s="2"/>
      <c r="C667" s="2"/>
      <c r="D667" s="2"/>
      <c r="E667" s="2"/>
      <c r="F667" s="2"/>
    </row>
    <row r="668" spans="1:6" ht="12.75" customHeight="1" x14ac:dyDescent="0.25">
      <c r="A668" s="2"/>
      <c r="B668" s="2"/>
      <c r="C668" s="2"/>
      <c r="D668" s="2"/>
      <c r="E668" s="2"/>
      <c r="F668" s="2"/>
    </row>
    <row r="669" spans="1:6" ht="12.75" customHeight="1" x14ac:dyDescent="0.25">
      <c r="A669" s="2"/>
      <c r="B669" s="2"/>
      <c r="C669" s="2"/>
      <c r="D669" s="2"/>
      <c r="E669" s="2"/>
      <c r="F669" s="2"/>
    </row>
    <row r="670" spans="1:6" ht="12.75" customHeight="1" x14ac:dyDescent="0.25">
      <c r="A670" s="2"/>
      <c r="B670" s="2"/>
      <c r="C670" s="2"/>
      <c r="D670" s="2"/>
      <c r="E670" s="2"/>
      <c r="F670" s="2"/>
    </row>
    <row r="671" spans="1:6" ht="12.75" customHeight="1" x14ac:dyDescent="0.25">
      <c r="A671" s="2"/>
      <c r="B671" s="2"/>
      <c r="C671" s="2"/>
      <c r="D671" s="2"/>
      <c r="E671" s="2"/>
      <c r="F671" s="2"/>
    </row>
    <row r="672" spans="1:6" ht="12.75" customHeight="1" x14ac:dyDescent="0.25">
      <c r="A672" s="2"/>
      <c r="B672" s="2"/>
      <c r="C672" s="2"/>
      <c r="D672" s="2"/>
      <c r="E672" s="2"/>
      <c r="F672" s="2"/>
    </row>
    <row r="673" spans="1:6" ht="12.75" customHeight="1" x14ac:dyDescent="0.25">
      <c r="A673" s="2"/>
      <c r="B673" s="2"/>
      <c r="C673" s="2"/>
      <c r="D673" s="2"/>
      <c r="E673" s="2"/>
      <c r="F673" s="2"/>
    </row>
    <row r="674" spans="1:6" ht="12.75" customHeight="1" x14ac:dyDescent="0.25">
      <c r="A674" s="2"/>
      <c r="B674" s="2"/>
      <c r="C674" s="2"/>
      <c r="D674" s="2"/>
      <c r="E674" s="2"/>
      <c r="F674" s="2"/>
    </row>
    <row r="675" spans="1:6" ht="12.75" customHeight="1" x14ac:dyDescent="0.25">
      <c r="A675" s="2"/>
      <c r="B675" s="2"/>
      <c r="C675" s="2"/>
      <c r="D675" s="2"/>
      <c r="E675" s="2"/>
      <c r="F675" s="2"/>
    </row>
    <row r="676" spans="1:6" ht="12.75" customHeight="1" x14ac:dyDescent="0.25">
      <c r="A676" s="2"/>
      <c r="B676" s="2"/>
      <c r="C676" s="2"/>
      <c r="D676" s="2"/>
      <c r="E676" s="2"/>
      <c r="F676" s="2"/>
    </row>
    <row r="677" spans="1:6" ht="12.75" customHeight="1" x14ac:dyDescent="0.25">
      <c r="A677" s="2"/>
      <c r="B677" s="2"/>
      <c r="C677" s="2"/>
      <c r="D677" s="2"/>
      <c r="E677" s="2"/>
      <c r="F677" s="2"/>
    </row>
    <row r="678" spans="1:6" ht="12.75" customHeight="1" x14ac:dyDescent="0.25">
      <c r="A678" s="2"/>
      <c r="B678" s="2"/>
      <c r="C678" s="2"/>
      <c r="D678" s="2"/>
      <c r="E678" s="2"/>
      <c r="F678" s="2"/>
    </row>
    <row r="679" spans="1:6" ht="12.75" customHeight="1" x14ac:dyDescent="0.25">
      <c r="A679" s="2"/>
      <c r="B679" s="2"/>
      <c r="C679" s="2"/>
      <c r="D679" s="2"/>
      <c r="E679" s="2"/>
      <c r="F679" s="2"/>
    </row>
    <row r="680" spans="1:6" ht="12.75" customHeight="1" x14ac:dyDescent="0.25">
      <c r="A680" s="2"/>
      <c r="B680" s="2"/>
      <c r="C680" s="2"/>
      <c r="D680" s="2"/>
      <c r="E680" s="2"/>
      <c r="F680" s="2"/>
    </row>
    <row r="681" spans="1:6" ht="12.75" customHeight="1" x14ac:dyDescent="0.25">
      <c r="A681" s="2"/>
      <c r="B681" s="2"/>
      <c r="C681" s="2"/>
      <c r="D681" s="2"/>
      <c r="E681" s="2"/>
      <c r="F681" s="2"/>
    </row>
    <row r="682" spans="1:6" ht="12.75" customHeight="1" x14ac:dyDescent="0.25">
      <c r="A682" s="2"/>
      <c r="B682" s="2"/>
      <c r="C682" s="2"/>
      <c r="D682" s="2"/>
      <c r="E682" s="2"/>
      <c r="F682" s="2"/>
    </row>
    <row r="683" spans="1:6" ht="12.75" customHeight="1" x14ac:dyDescent="0.25">
      <c r="A683" s="2"/>
      <c r="B683" s="2"/>
      <c r="C683" s="2"/>
      <c r="D683" s="2"/>
      <c r="E683" s="2"/>
      <c r="F683" s="2"/>
    </row>
    <row r="684" spans="1:6" ht="12.75" customHeight="1" x14ac:dyDescent="0.25">
      <c r="A684" s="2"/>
      <c r="B684" s="2"/>
      <c r="C684" s="2"/>
      <c r="D684" s="2"/>
      <c r="E684" s="2"/>
      <c r="F684" s="2"/>
    </row>
    <row r="685" spans="1:6" ht="12.75" customHeight="1" x14ac:dyDescent="0.25">
      <c r="A685" s="2"/>
      <c r="B685" s="2"/>
      <c r="C685" s="2"/>
      <c r="D685" s="2"/>
      <c r="E685" s="2"/>
      <c r="F685" s="2"/>
    </row>
    <row r="686" spans="1:6" ht="12.75" customHeight="1" x14ac:dyDescent="0.25">
      <c r="A686" s="2"/>
      <c r="B686" s="2"/>
      <c r="C686" s="2"/>
      <c r="D686" s="2"/>
      <c r="E686" s="2"/>
      <c r="F686" s="2"/>
    </row>
    <row r="687" spans="1:6" ht="12.75" customHeight="1" x14ac:dyDescent="0.25">
      <c r="A687" s="2"/>
      <c r="B687" s="2"/>
      <c r="C687" s="2"/>
      <c r="D687" s="2"/>
      <c r="E687" s="2"/>
      <c r="F687" s="2"/>
    </row>
    <row r="688" spans="1:6" ht="12.75" customHeight="1" x14ac:dyDescent="0.25">
      <c r="A688" s="2"/>
      <c r="B688" s="2"/>
      <c r="C688" s="2"/>
      <c r="D688" s="2"/>
      <c r="E688" s="2"/>
      <c r="F688" s="2"/>
    </row>
    <row r="689" spans="1:6" ht="12.75" customHeight="1" x14ac:dyDescent="0.25">
      <c r="A689" s="2"/>
      <c r="B689" s="2"/>
      <c r="C689" s="2"/>
      <c r="D689" s="2"/>
      <c r="E689" s="2"/>
      <c r="F689" s="2"/>
    </row>
    <row r="690" spans="1:6" ht="12.75" customHeight="1" x14ac:dyDescent="0.25">
      <c r="A690" s="2"/>
      <c r="B690" s="2"/>
      <c r="C690" s="2"/>
      <c r="D690" s="2"/>
      <c r="E690" s="2"/>
      <c r="F690" s="2"/>
    </row>
    <row r="691" spans="1:6" ht="12.75" customHeight="1" x14ac:dyDescent="0.25">
      <c r="A691" s="2"/>
      <c r="B691" s="2"/>
      <c r="C691" s="2"/>
      <c r="D691" s="2"/>
      <c r="E691" s="2"/>
      <c r="F691" s="2"/>
    </row>
    <row r="692" spans="1:6" ht="12.75" customHeight="1" x14ac:dyDescent="0.25">
      <c r="A692" s="2"/>
      <c r="B692" s="2"/>
      <c r="C692" s="2"/>
      <c r="D692" s="2"/>
      <c r="E692" s="2"/>
      <c r="F692" s="2"/>
    </row>
    <row r="693" spans="1:6" ht="12.75" customHeight="1" x14ac:dyDescent="0.25">
      <c r="A693" s="2"/>
      <c r="B693" s="2"/>
      <c r="C693" s="2"/>
      <c r="D693" s="2"/>
      <c r="E693" s="2"/>
      <c r="F693" s="2"/>
    </row>
    <row r="694" spans="1:6" ht="12.75" customHeight="1" x14ac:dyDescent="0.25">
      <c r="A694" s="2"/>
      <c r="B694" s="2"/>
      <c r="C694" s="2"/>
      <c r="D694" s="2"/>
      <c r="E694" s="2"/>
      <c r="F694" s="2"/>
    </row>
    <row r="695" spans="1:6" ht="12.75" customHeight="1" x14ac:dyDescent="0.25">
      <c r="A695" s="2"/>
      <c r="B695" s="2"/>
      <c r="C695" s="2"/>
      <c r="D695" s="2"/>
      <c r="E695" s="2"/>
      <c r="F695" s="2"/>
    </row>
    <row r="696" spans="1:6" ht="12.75" customHeight="1" x14ac:dyDescent="0.25">
      <c r="A696" s="2"/>
      <c r="B696" s="2"/>
      <c r="C696" s="2"/>
      <c r="D696" s="2"/>
      <c r="E696" s="2"/>
      <c r="F696" s="2"/>
    </row>
    <row r="697" spans="1:6" ht="12.75" customHeight="1" x14ac:dyDescent="0.25">
      <c r="A697" s="2"/>
      <c r="B697" s="2"/>
      <c r="C697" s="2"/>
      <c r="D697" s="2"/>
      <c r="E697" s="2"/>
      <c r="F697" s="2"/>
    </row>
    <row r="698" spans="1:6" ht="12.75" customHeight="1" x14ac:dyDescent="0.25">
      <c r="A698" s="2"/>
      <c r="B698" s="2"/>
      <c r="C698" s="2"/>
      <c r="D698" s="2"/>
      <c r="E698" s="2"/>
      <c r="F698" s="2"/>
    </row>
    <row r="699" spans="1:6" ht="12.75" customHeight="1" x14ac:dyDescent="0.25">
      <c r="A699" s="2"/>
      <c r="B699" s="2"/>
      <c r="C699" s="2"/>
      <c r="D699" s="2"/>
      <c r="E699" s="2"/>
      <c r="F699" s="2"/>
    </row>
    <row r="700" spans="1:6" ht="12.75" customHeight="1" x14ac:dyDescent="0.25">
      <c r="A700" s="2"/>
      <c r="B700" s="2"/>
      <c r="C700" s="2"/>
      <c r="D700" s="2"/>
      <c r="E700" s="2"/>
      <c r="F700" s="2"/>
    </row>
    <row r="701" spans="1:6" ht="12.75" customHeight="1" x14ac:dyDescent="0.25">
      <c r="A701" s="2"/>
      <c r="B701" s="2"/>
      <c r="C701" s="2"/>
      <c r="D701" s="2"/>
      <c r="E701" s="2"/>
      <c r="F701" s="2"/>
    </row>
    <row r="702" spans="1:6" ht="12.75" customHeight="1" x14ac:dyDescent="0.25">
      <c r="A702" s="2"/>
      <c r="B702" s="2"/>
      <c r="C702" s="2"/>
      <c r="D702" s="2"/>
      <c r="E702" s="2"/>
      <c r="F702" s="2"/>
    </row>
    <row r="703" spans="1:6" ht="12.75" customHeight="1" x14ac:dyDescent="0.25">
      <c r="A703" s="2"/>
      <c r="B703" s="2"/>
      <c r="C703" s="2"/>
      <c r="D703" s="2"/>
      <c r="E703" s="2"/>
      <c r="F703" s="2"/>
    </row>
    <row r="704" spans="1:6" ht="12.75" customHeight="1" x14ac:dyDescent="0.25">
      <c r="A704" s="2"/>
      <c r="B704" s="2"/>
      <c r="C704" s="2"/>
      <c r="D704" s="2"/>
      <c r="E704" s="2"/>
      <c r="F704" s="2"/>
    </row>
    <row r="705" spans="1:6" ht="12.75" customHeight="1" x14ac:dyDescent="0.25">
      <c r="A705" s="2"/>
      <c r="B705" s="2"/>
      <c r="C705" s="2"/>
      <c r="D705" s="2"/>
      <c r="E705" s="2"/>
      <c r="F705" s="2"/>
    </row>
    <row r="706" spans="1:6" ht="12.75" customHeight="1" x14ac:dyDescent="0.25">
      <c r="A706" s="2"/>
      <c r="B706" s="2"/>
      <c r="C706" s="2"/>
      <c r="D706" s="2"/>
      <c r="E706" s="2"/>
      <c r="F706" s="2"/>
    </row>
    <row r="707" spans="1:6" ht="12.75" customHeight="1" x14ac:dyDescent="0.25">
      <c r="A707" s="2"/>
      <c r="B707" s="2"/>
      <c r="C707" s="2"/>
      <c r="D707" s="2"/>
      <c r="E707" s="2"/>
      <c r="F707" s="2"/>
    </row>
    <row r="708" spans="1:6" ht="12.75" customHeight="1" x14ac:dyDescent="0.25">
      <c r="A708" s="2"/>
      <c r="B708" s="2"/>
      <c r="C708" s="2"/>
      <c r="D708" s="2"/>
      <c r="E708" s="2"/>
      <c r="F708" s="2"/>
    </row>
    <row r="709" spans="1:6" ht="12.75" customHeight="1" x14ac:dyDescent="0.25">
      <c r="A709" s="2"/>
      <c r="B709" s="2"/>
      <c r="C709" s="2"/>
      <c r="D709" s="2"/>
      <c r="E709" s="2"/>
      <c r="F709" s="2"/>
    </row>
    <row r="710" spans="1:6" ht="12.75" customHeight="1" x14ac:dyDescent="0.25">
      <c r="A710" s="2"/>
      <c r="B710" s="2"/>
      <c r="C710" s="2"/>
      <c r="D710" s="2"/>
      <c r="E710" s="2"/>
      <c r="F710" s="2"/>
    </row>
    <row r="711" spans="1:6" ht="12.75" customHeight="1" x14ac:dyDescent="0.25">
      <c r="A711" s="2"/>
      <c r="B711" s="2"/>
      <c r="C711" s="2"/>
      <c r="D711" s="2"/>
      <c r="E711" s="2"/>
      <c r="F711" s="2"/>
    </row>
    <row r="712" spans="1:6" ht="12.75" customHeight="1" x14ac:dyDescent="0.25">
      <c r="A712" s="2"/>
      <c r="B712" s="2"/>
      <c r="C712" s="2"/>
      <c r="D712" s="2"/>
      <c r="E712" s="2"/>
      <c r="F712" s="2"/>
    </row>
    <row r="713" spans="1:6" ht="12.75" customHeight="1" x14ac:dyDescent="0.25">
      <c r="A713" s="2"/>
      <c r="B713" s="2"/>
      <c r="C713" s="2"/>
      <c r="D713" s="2"/>
      <c r="E713" s="2"/>
      <c r="F713" s="2"/>
    </row>
    <row r="714" spans="1:6" ht="12.75" customHeight="1" x14ac:dyDescent="0.25">
      <c r="A714" s="2"/>
      <c r="B714" s="2"/>
      <c r="C714" s="2"/>
      <c r="D714" s="2"/>
      <c r="E714" s="2"/>
      <c r="F714" s="2"/>
    </row>
    <row r="715" spans="1:6" ht="12.75" customHeight="1" x14ac:dyDescent="0.25">
      <c r="A715" s="2"/>
      <c r="B715" s="2"/>
      <c r="C715" s="2"/>
      <c r="D715" s="2"/>
      <c r="E715" s="2"/>
      <c r="F715" s="2"/>
    </row>
    <row r="716" spans="1:6" ht="12.75" customHeight="1" x14ac:dyDescent="0.25">
      <c r="A716" s="2"/>
      <c r="B716" s="2"/>
      <c r="C716" s="2"/>
      <c r="D716" s="2"/>
      <c r="E716" s="2"/>
      <c r="F716" s="2"/>
    </row>
    <row r="717" spans="1:6" ht="12.75" customHeight="1" x14ac:dyDescent="0.25">
      <c r="A717" s="2"/>
      <c r="B717" s="2"/>
      <c r="C717" s="2"/>
      <c r="D717" s="2"/>
      <c r="E717" s="2"/>
      <c r="F717" s="2"/>
    </row>
    <row r="718" spans="1:6" ht="12.75" customHeight="1" x14ac:dyDescent="0.25">
      <c r="A718" s="2"/>
      <c r="B718" s="2"/>
      <c r="C718" s="2"/>
      <c r="D718" s="2"/>
      <c r="E718" s="2"/>
      <c r="F718" s="2"/>
    </row>
    <row r="719" spans="1:6" ht="12.75" customHeight="1" x14ac:dyDescent="0.25">
      <c r="A719" s="2"/>
      <c r="B719" s="2"/>
      <c r="C719" s="2"/>
      <c r="D719" s="2"/>
      <c r="E719" s="2"/>
      <c r="F719" s="2"/>
    </row>
    <row r="720" spans="1:6" ht="12.75" customHeight="1" x14ac:dyDescent="0.25">
      <c r="A720" s="2"/>
      <c r="B720" s="2"/>
      <c r="C720" s="2"/>
      <c r="D720" s="2"/>
      <c r="E720" s="2"/>
      <c r="F720" s="2"/>
    </row>
    <row r="721" spans="1:6" ht="12.75" customHeight="1" x14ac:dyDescent="0.25">
      <c r="A721" s="2"/>
      <c r="B721" s="2"/>
      <c r="C721" s="2"/>
      <c r="D721" s="2"/>
      <c r="E721" s="2"/>
      <c r="F721" s="2"/>
    </row>
    <row r="722" spans="1:6" ht="12.75" customHeight="1" x14ac:dyDescent="0.25">
      <c r="A722" s="2"/>
      <c r="B722" s="2"/>
      <c r="C722" s="2"/>
      <c r="D722" s="2"/>
      <c r="E722" s="2"/>
      <c r="F722" s="2"/>
    </row>
    <row r="723" spans="1:6" ht="12.75" customHeight="1" x14ac:dyDescent="0.25">
      <c r="A723" s="2"/>
      <c r="B723" s="2"/>
      <c r="C723" s="2"/>
      <c r="D723" s="2"/>
      <c r="E723" s="2"/>
      <c r="F723" s="2"/>
    </row>
    <row r="724" spans="1:6" ht="12.75" customHeight="1" x14ac:dyDescent="0.25">
      <c r="A724" s="2"/>
      <c r="B724" s="2"/>
      <c r="C724" s="2"/>
      <c r="D724" s="2"/>
      <c r="E724" s="2"/>
      <c r="F724" s="2"/>
    </row>
    <row r="725" spans="1:6" ht="12.75" customHeight="1" x14ac:dyDescent="0.25">
      <c r="A725" s="2"/>
      <c r="B725" s="2"/>
      <c r="C725" s="2"/>
      <c r="D725" s="2"/>
      <c r="E725" s="2"/>
      <c r="F725" s="2"/>
    </row>
    <row r="726" spans="1:6" ht="12.75" customHeight="1" x14ac:dyDescent="0.25">
      <c r="A726" s="2"/>
      <c r="B726" s="2"/>
      <c r="C726" s="2"/>
      <c r="D726" s="2"/>
      <c r="E726" s="2"/>
      <c r="F726" s="2"/>
    </row>
    <row r="727" spans="1:6" ht="12.75" customHeight="1" x14ac:dyDescent="0.25">
      <c r="A727" s="2"/>
      <c r="B727" s="2"/>
      <c r="C727" s="2"/>
      <c r="D727" s="2"/>
      <c r="E727" s="2"/>
      <c r="F727" s="2"/>
    </row>
    <row r="728" spans="1:6" ht="12.75" customHeight="1" x14ac:dyDescent="0.25">
      <c r="A728" s="2"/>
      <c r="B728" s="2"/>
      <c r="C728" s="2"/>
      <c r="D728" s="2"/>
      <c r="E728" s="2"/>
      <c r="F728" s="2"/>
    </row>
    <row r="729" spans="1:6" ht="12.75" customHeight="1" x14ac:dyDescent="0.25">
      <c r="A729" s="2"/>
      <c r="B729" s="2"/>
      <c r="C729" s="2"/>
      <c r="D729" s="2"/>
      <c r="E729" s="2"/>
      <c r="F729" s="2"/>
    </row>
    <row r="730" spans="1:6" ht="12.75" customHeight="1" x14ac:dyDescent="0.25">
      <c r="A730" s="2"/>
      <c r="B730" s="2"/>
      <c r="C730" s="2"/>
      <c r="D730" s="2"/>
      <c r="E730" s="2"/>
      <c r="F730" s="2"/>
    </row>
    <row r="731" spans="1:6" ht="12.75" customHeight="1" x14ac:dyDescent="0.25">
      <c r="A731" s="2"/>
      <c r="B731" s="2"/>
      <c r="C731" s="2"/>
      <c r="D731" s="2"/>
      <c r="E731" s="2"/>
      <c r="F731" s="2"/>
    </row>
    <row r="732" spans="1:6" ht="12.75" customHeight="1" x14ac:dyDescent="0.25">
      <c r="A732" s="2"/>
      <c r="B732" s="2"/>
      <c r="C732" s="2"/>
      <c r="D732" s="2"/>
      <c r="E732" s="2"/>
      <c r="F732" s="2"/>
    </row>
    <row r="733" spans="1:6" ht="12.75" customHeight="1" x14ac:dyDescent="0.25">
      <c r="A733" s="2"/>
      <c r="B733" s="2"/>
      <c r="C733" s="2"/>
      <c r="D733" s="2"/>
      <c r="E733" s="2"/>
      <c r="F733" s="2"/>
    </row>
    <row r="734" spans="1:6" ht="12.75" customHeight="1" x14ac:dyDescent="0.25">
      <c r="A734" s="2"/>
      <c r="B734" s="2"/>
      <c r="C734" s="2"/>
      <c r="D734" s="2"/>
      <c r="E734" s="2"/>
      <c r="F734" s="2"/>
    </row>
    <row r="735" spans="1:6" ht="12.75" customHeight="1" x14ac:dyDescent="0.25">
      <c r="A735" s="2"/>
      <c r="B735" s="2"/>
      <c r="C735" s="2"/>
      <c r="D735" s="2"/>
      <c r="E735" s="2"/>
      <c r="F735" s="2"/>
    </row>
    <row r="736" spans="1:6" ht="12.75" customHeight="1" x14ac:dyDescent="0.25">
      <c r="A736" s="2"/>
      <c r="B736" s="2"/>
      <c r="C736" s="2"/>
      <c r="D736" s="2"/>
      <c r="E736" s="2"/>
      <c r="F736" s="2"/>
    </row>
    <row r="737" spans="1:6" ht="12.75" customHeight="1" x14ac:dyDescent="0.25">
      <c r="A737" s="2"/>
      <c r="B737" s="2"/>
      <c r="C737" s="2"/>
      <c r="D737" s="2"/>
      <c r="E737" s="2"/>
      <c r="F737" s="2"/>
    </row>
    <row r="738" spans="1:6" ht="12.75" customHeight="1" x14ac:dyDescent="0.25">
      <c r="A738" s="2"/>
      <c r="B738" s="2"/>
      <c r="C738" s="2"/>
      <c r="D738" s="2"/>
      <c r="E738" s="2"/>
      <c r="F738" s="2"/>
    </row>
    <row r="739" spans="1:6" ht="12.75" customHeight="1" x14ac:dyDescent="0.25">
      <c r="A739" s="2"/>
      <c r="B739" s="2"/>
      <c r="C739" s="2"/>
      <c r="D739" s="2"/>
      <c r="E739" s="2"/>
      <c r="F739" s="2"/>
    </row>
    <row r="740" spans="1:6" ht="12.75" customHeight="1" x14ac:dyDescent="0.25">
      <c r="A740" s="2"/>
      <c r="B740" s="2"/>
      <c r="C740" s="2"/>
      <c r="D740" s="2"/>
      <c r="E740" s="2"/>
      <c r="F740" s="2"/>
    </row>
    <row r="741" spans="1:6" ht="12.75" customHeight="1" x14ac:dyDescent="0.25">
      <c r="A741" s="2"/>
      <c r="B741" s="2"/>
      <c r="C741" s="2"/>
      <c r="D741" s="2"/>
      <c r="E741" s="2"/>
      <c r="F741" s="2"/>
    </row>
    <row r="742" spans="1:6" ht="12.75" customHeight="1" x14ac:dyDescent="0.25">
      <c r="A742" s="2"/>
      <c r="B742" s="2"/>
      <c r="C742" s="2"/>
      <c r="D742" s="2"/>
      <c r="E742" s="2"/>
      <c r="F742" s="2"/>
    </row>
    <row r="743" spans="1:6" ht="12.75" customHeight="1" x14ac:dyDescent="0.25">
      <c r="A743" s="2"/>
      <c r="B743" s="2"/>
      <c r="C743" s="2"/>
      <c r="D743" s="2"/>
      <c r="E743" s="2"/>
      <c r="F743" s="2"/>
    </row>
    <row r="744" spans="1:6" ht="12.75" customHeight="1" x14ac:dyDescent="0.25">
      <c r="A744" s="2"/>
      <c r="B744" s="2"/>
      <c r="C744" s="2"/>
      <c r="D744" s="2"/>
      <c r="E744" s="2"/>
      <c r="F744" s="2"/>
    </row>
    <row r="745" spans="1:6" ht="12.75" customHeight="1" x14ac:dyDescent="0.25">
      <c r="A745" s="2"/>
      <c r="B745" s="2"/>
      <c r="C745" s="2"/>
      <c r="D745" s="2"/>
      <c r="E745" s="2"/>
      <c r="F745" s="2"/>
    </row>
    <row r="746" spans="1:6" ht="12.75" customHeight="1" x14ac:dyDescent="0.25">
      <c r="A746" s="2"/>
      <c r="B746" s="2"/>
      <c r="C746" s="2"/>
      <c r="D746" s="2"/>
      <c r="E746" s="2"/>
      <c r="F746" s="2"/>
    </row>
    <row r="747" spans="1:6" ht="12.75" customHeight="1" x14ac:dyDescent="0.25">
      <c r="A747" s="2"/>
      <c r="B747" s="2"/>
      <c r="C747" s="2"/>
      <c r="D747" s="2"/>
      <c r="E747" s="2"/>
      <c r="F747" s="2"/>
    </row>
    <row r="748" spans="1:6" ht="12.75" customHeight="1" x14ac:dyDescent="0.25">
      <c r="A748" s="2"/>
      <c r="B748" s="2"/>
      <c r="C748" s="2"/>
      <c r="D748" s="2"/>
      <c r="E748" s="2"/>
      <c r="F748" s="2"/>
    </row>
    <row r="749" spans="1:6" ht="12.75" customHeight="1" x14ac:dyDescent="0.25">
      <c r="A749" s="2"/>
      <c r="B749" s="2"/>
      <c r="C749" s="2"/>
      <c r="D749" s="2"/>
      <c r="E749" s="2"/>
      <c r="F749" s="2"/>
    </row>
    <row r="750" spans="1:6" ht="12.75" customHeight="1" x14ac:dyDescent="0.25">
      <c r="A750" s="2"/>
      <c r="B750" s="2"/>
      <c r="C750" s="2"/>
      <c r="D750" s="2"/>
      <c r="E750" s="2"/>
      <c r="F750" s="2"/>
    </row>
    <row r="751" spans="1:6" ht="12.75" customHeight="1" x14ac:dyDescent="0.25">
      <c r="A751" s="2"/>
      <c r="B751" s="2"/>
      <c r="C751" s="2"/>
      <c r="D751" s="2"/>
      <c r="E751" s="2"/>
      <c r="F751" s="2"/>
    </row>
    <row r="752" spans="1:6" ht="12.75" customHeight="1" x14ac:dyDescent="0.25">
      <c r="A752" s="2"/>
      <c r="B752" s="2"/>
      <c r="C752" s="2"/>
      <c r="D752" s="2"/>
      <c r="E752" s="2"/>
      <c r="F752" s="2"/>
    </row>
    <row r="753" spans="1:6" ht="12.75" customHeight="1" x14ac:dyDescent="0.25">
      <c r="A753" s="2"/>
      <c r="B753" s="2"/>
      <c r="C753" s="2"/>
      <c r="D753" s="2"/>
      <c r="E753" s="2"/>
      <c r="F753" s="2"/>
    </row>
    <row r="754" spans="1:6" ht="12.75" customHeight="1" x14ac:dyDescent="0.25">
      <c r="A754" s="2"/>
      <c r="B754" s="2"/>
      <c r="C754" s="2"/>
      <c r="D754" s="2"/>
      <c r="E754" s="2"/>
      <c r="F754" s="2"/>
    </row>
    <row r="755" spans="1:6" ht="12.75" customHeight="1" x14ac:dyDescent="0.25">
      <c r="A755" s="2"/>
      <c r="B755" s="2"/>
      <c r="C755" s="2"/>
      <c r="D755" s="2"/>
      <c r="E755" s="2"/>
      <c r="F755" s="2"/>
    </row>
    <row r="756" spans="1:6" ht="12.75" customHeight="1" x14ac:dyDescent="0.25">
      <c r="A756" s="2"/>
      <c r="B756" s="2"/>
      <c r="C756" s="2"/>
      <c r="D756" s="2"/>
      <c r="E756" s="2"/>
      <c r="F756" s="2"/>
    </row>
    <row r="757" spans="1:6" ht="12.75" customHeight="1" x14ac:dyDescent="0.25">
      <c r="A757" s="2"/>
      <c r="B757" s="2"/>
      <c r="C757" s="2"/>
      <c r="D757" s="2"/>
      <c r="E757" s="2"/>
      <c r="F757" s="2"/>
    </row>
    <row r="758" spans="1:6" ht="12.75" customHeight="1" x14ac:dyDescent="0.25">
      <c r="A758" s="2"/>
      <c r="B758" s="2"/>
      <c r="C758" s="2"/>
      <c r="D758" s="2"/>
      <c r="E758" s="2"/>
      <c r="F758" s="2"/>
    </row>
    <row r="759" spans="1:6" ht="12.75" customHeight="1" x14ac:dyDescent="0.25">
      <c r="A759" s="2"/>
      <c r="B759" s="2"/>
      <c r="C759" s="2"/>
      <c r="D759" s="2"/>
      <c r="E759" s="2"/>
      <c r="F759" s="2"/>
    </row>
    <row r="760" spans="1:6" ht="12.75" customHeight="1" x14ac:dyDescent="0.25">
      <c r="A760" s="2"/>
      <c r="B760" s="2"/>
      <c r="C760" s="2"/>
      <c r="D760" s="2"/>
      <c r="E760" s="2"/>
      <c r="F760" s="2"/>
    </row>
    <row r="761" spans="1:6" ht="12.75" customHeight="1" x14ac:dyDescent="0.25">
      <c r="A761" s="2"/>
      <c r="B761" s="2"/>
      <c r="C761" s="2"/>
      <c r="D761" s="2"/>
      <c r="E761" s="2"/>
      <c r="F761" s="2"/>
    </row>
    <row r="762" spans="1:6" ht="12.75" customHeight="1" x14ac:dyDescent="0.25">
      <c r="A762" s="2"/>
      <c r="B762" s="2"/>
      <c r="C762" s="2"/>
      <c r="D762" s="2"/>
      <c r="E762" s="2"/>
      <c r="F762" s="2"/>
    </row>
    <row r="763" spans="1:6" ht="12.75" customHeight="1" x14ac:dyDescent="0.25">
      <c r="A763" s="2"/>
      <c r="B763" s="2"/>
      <c r="C763" s="2"/>
      <c r="D763" s="2"/>
      <c r="E763" s="2"/>
      <c r="F763" s="2"/>
    </row>
    <row r="764" spans="1:6" ht="12.75" customHeight="1" x14ac:dyDescent="0.25">
      <c r="A764" s="2"/>
      <c r="B764" s="2"/>
      <c r="C764" s="2"/>
      <c r="D764" s="2"/>
      <c r="E764" s="2"/>
      <c r="F764" s="2"/>
    </row>
    <row r="765" spans="1:6" ht="12.75" customHeight="1" x14ac:dyDescent="0.25">
      <c r="A765" s="2"/>
      <c r="B765" s="2"/>
      <c r="C765" s="2"/>
      <c r="D765" s="2"/>
      <c r="E765" s="2"/>
      <c r="F765" s="2"/>
    </row>
    <row r="766" spans="1:6" ht="12.75" customHeight="1" x14ac:dyDescent="0.25">
      <c r="A766" s="2"/>
      <c r="B766" s="2"/>
      <c r="C766" s="2"/>
      <c r="D766" s="2"/>
      <c r="E766" s="2"/>
      <c r="F766" s="2"/>
    </row>
    <row r="767" spans="1:6" ht="12.75" customHeight="1" x14ac:dyDescent="0.25">
      <c r="A767" s="2"/>
      <c r="B767" s="2"/>
      <c r="C767" s="2"/>
      <c r="D767" s="2"/>
      <c r="E767" s="2"/>
      <c r="F767" s="2"/>
    </row>
    <row r="768" spans="1:6" ht="12.75" customHeight="1" x14ac:dyDescent="0.25">
      <c r="A768" s="2"/>
      <c r="B768" s="2"/>
      <c r="C768" s="2"/>
      <c r="D768" s="2"/>
      <c r="E768" s="2"/>
      <c r="F768" s="2"/>
    </row>
    <row r="769" spans="1:6" ht="12.75" customHeight="1" x14ac:dyDescent="0.25">
      <c r="A769" s="2"/>
      <c r="B769" s="2"/>
      <c r="C769" s="2"/>
      <c r="D769" s="2"/>
      <c r="E769" s="2"/>
      <c r="F769" s="2"/>
    </row>
    <row r="770" spans="1:6" ht="12.75" customHeight="1" x14ac:dyDescent="0.25">
      <c r="A770" s="2"/>
      <c r="B770" s="2"/>
      <c r="C770" s="2"/>
      <c r="D770" s="2"/>
      <c r="E770" s="2"/>
      <c r="F770" s="2"/>
    </row>
    <row r="771" spans="1:6" ht="12.75" customHeight="1" x14ac:dyDescent="0.25">
      <c r="A771" s="2"/>
      <c r="B771" s="2"/>
      <c r="C771" s="2"/>
      <c r="D771" s="2"/>
      <c r="E771" s="2"/>
      <c r="F771" s="2"/>
    </row>
    <row r="772" spans="1:6" ht="12.75" customHeight="1" x14ac:dyDescent="0.25">
      <c r="A772" s="2"/>
      <c r="B772" s="2"/>
      <c r="C772" s="2"/>
      <c r="D772" s="2"/>
      <c r="E772" s="2"/>
      <c r="F772" s="2"/>
    </row>
    <row r="773" spans="1:6" ht="12.75" customHeight="1" x14ac:dyDescent="0.25">
      <c r="A773" s="2"/>
      <c r="B773" s="2"/>
      <c r="C773" s="2"/>
      <c r="D773" s="2"/>
      <c r="E773" s="2"/>
      <c r="F773" s="2"/>
    </row>
    <row r="774" spans="1:6" ht="12.75" customHeight="1" x14ac:dyDescent="0.25">
      <c r="A774" s="2"/>
      <c r="B774" s="2"/>
      <c r="C774" s="2"/>
      <c r="D774" s="2"/>
      <c r="E774" s="2"/>
      <c r="F774" s="2"/>
    </row>
    <row r="775" spans="1:6" ht="12.75" customHeight="1" x14ac:dyDescent="0.25">
      <c r="A775" s="2"/>
      <c r="B775" s="2"/>
      <c r="C775" s="2"/>
      <c r="D775" s="2"/>
      <c r="E775" s="2"/>
      <c r="F775" s="2"/>
    </row>
    <row r="776" spans="1:6" ht="12.75" customHeight="1" x14ac:dyDescent="0.25">
      <c r="A776" s="2"/>
      <c r="B776" s="2"/>
      <c r="C776" s="2"/>
      <c r="D776" s="2"/>
      <c r="E776" s="2"/>
      <c r="F776" s="2"/>
    </row>
    <row r="777" spans="1:6" ht="12.75" customHeight="1" x14ac:dyDescent="0.25">
      <c r="A777" s="2"/>
      <c r="B777" s="2"/>
      <c r="C777" s="2"/>
      <c r="D777" s="2"/>
      <c r="E777" s="2"/>
      <c r="F777" s="2"/>
    </row>
    <row r="778" spans="1:6" ht="12.75" customHeight="1" x14ac:dyDescent="0.25">
      <c r="A778" s="2"/>
      <c r="B778" s="2"/>
      <c r="C778" s="2"/>
      <c r="D778" s="2"/>
      <c r="E778" s="2"/>
      <c r="F778" s="2"/>
    </row>
    <row r="779" spans="1:6" ht="12.75" customHeight="1" x14ac:dyDescent="0.25">
      <c r="A779" s="2"/>
      <c r="B779" s="2"/>
      <c r="C779" s="2"/>
      <c r="D779" s="2"/>
      <c r="E779" s="2"/>
      <c r="F779" s="2"/>
    </row>
    <row r="780" spans="1:6" ht="12.75" customHeight="1" x14ac:dyDescent="0.25">
      <c r="A780" s="2"/>
      <c r="B780" s="2"/>
      <c r="C780" s="2"/>
      <c r="D780" s="2"/>
      <c r="E780" s="2"/>
      <c r="F780" s="2"/>
    </row>
    <row r="781" spans="1:6" ht="12.75" customHeight="1" x14ac:dyDescent="0.25">
      <c r="A781" s="2"/>
      <c r="B781" s="2"/>
      <c r="C781" s="2"/>
      <c r="D781" s="2"/>
      <c r="E781" s="2"/>
      <c r="F781" s="2"/>
    </row>
    <row r="782" spans="1:6" ht="12.75" customHeight="1" x14ac:dyDescent="0.25">
      <c r="A782" s="2"/>
      <c r="B782" s="2"/>
      <c r="C782" s="2"/>
      <c r="D782" s="2"/>
      <c r="E782" s="2"/>
      <c r="F782" s="2"/>
    </row>
    <row r="783" spans="1:6" ht="12.75" customHeight="1" x14ac:dyDescent="0.25">
      <c r="A783" s="2"/>
      <c r="B783" s="2"/>
      <c r="C783" s="2"/>
      <c r="D783" s="2"/>
      <c r="E783" s="2"/>
      <c r="F783" s="2"/>
    </row>
    <row r="784" spans="1:6" ht="12.75" customHeight="1" x14ac:dyDescent="0.25">
      <c r="A784" s="2"/>
      <c r="B784" s="2"/>
      <c r="C784" s="2"/>
      <c r="D784" s="2"/>
      <c r="E784" s="2"/>
      <c r="F784" s="2"/>
    </row>
    <row r="785" spans="1:6" ht="12.75" customHeight="1" x14ac:dyDescent="0.25">
      <c r="A785" s="2"/>
      <c r="B785" s="2"/>
      <c r="C785" s="2"/>
      <c r="D785" s="2"/>
      <c r="E785" s="2"/>
      <c r="F785" s="2"/>
    </row>
    <row r="786" spans="1:6" ht="12.75" customHeight="1" x14ac:dyDescent="0.25">
      <c r="A786" s="2"/>
      <c r="B786" s="2"/>
      <c r="C786" s="2"/>
      <c r="D786" s="2"/>
      <c r="E786" s="2"/>
      <c r="F786" s="2"/>
    </row>
    <row r="787" spans="1:6" ht="12.75" customHeight="1" x14ac:dyDescent="0.25">
      <c r="A787" s="2"/>
      <c r="B787" s="2"/>
      <c r="C787" s="2"/>
      <c r="D787" s="2"/>
      <c r="E787" s="2"/>
      <c r="F787" s="2"/>
    </row>
    <row r="788" spans="1:6" ht="12.75" customHeight="1" x14ac:dyDescent="0.25">
      <c r="A788" s="2"/>
      <c r="B788" s="2"/>
      <c r="C788" s="2"/>
      <c r="D788" s="2"/>
      <c r="E788" s="2"/>
      <c r="F788" s="2"/>
    </row>
    <row r="789" spans="1:6" ht="12.75" customHeight="1" x14ac:dyDescent="0.25">
      <c r="A789" s="2"/>
      <c r="B789" s="2"/>
      <c r="C789" s="2"/>
      <c r="D789" s="2"/>
      <c r="E789" s="2"/>
      <c r="F789" s="2"/>
    </row>
    <row r="790" spans="1:6" ht="12.75" customHeight="1" x14ac:dyDescent="0.25">
      <c r="A790" s="2"/>
      <c r="B790" s="2"/>
      <c r="C790" s="2"/>
      <c r="D790" s="2"/>
      <c r="E790" s="2"/>
      <c r="F790" s="2"/>
    </row>
    <row r="791" spans="1:6" ht="12.75" customHeight="1" x14ac:dyDescent="0.25">
      <c r="A791" s="2"/>
      <c r="B791" s="2"/>
      <c r="C791" s="2"/>
      <c r="D791" s="2"/>
      <c r="E791" s="2"/>
      <c r="F791" s="2"/>
    </row>
    <row r="792" spans="1:6" ht="12.75" customHeight="1" x14ac:dyDescent="0.25">
      <c r="A792" s="2"/>
      <c r="B792" s="2"/>
      <c r="C792" s="2"/>
      <c r="D792" s="2"/>
      <c r="E792" s="2"/>
      <c r="F792" s="2"/>
    </row>
    <row r="793" spans="1:6" ht="12.75" customHeight="1" x14ac:dyDescent="0.25">
      <c r="A793" s="2"/>
      <c r="B793" s="2"/>
      <c r="C793" s="2"/>
      <c r="D793" s="2"/>
      <c r="E793" s="2"/>
      <c r="F793" s="2"/>
    </row>
    <row r="794" spans="1:6" ht="12.75" customHeight="1" x14ac:dyDescent="0.25">
      <c r="A794" s="2"/>
      <c r="B794" s="2"/>
      <c r="C794" s="2"/>
      <c r="D794" s="2"/>
      <c r="E794" s="2"/>
      <c r="F794" s="2"/>
    </row>
    <row r="795" spans="1:6" ht="12.75" customHeight="1" x14ac:dyDescent="0.25">
      <c r="A795" s="2"/>
      <c r="B795" s="2"/>
      <c r="C795" s="2"/>
      <c r="D795" s="2"/>
      <c r="E795" s="2"/>
      <c r="F795" s="2"/>
    </row>
    <row r="796" spans="1:6" ht="12.75" customHeight="1" x14ac:dyDescent="0.25">
      <c r="A796" s="2"/>
      <c r="B796" s="2"/>
      <c r="C796" s="2"/>
      <c r="D796" s="2"/>
      <c r="E796" s="2"/>
      <c r="F796" s="2"/>
    </row>
    <row r="797" spans="1:6" ht="12.75" customHeight="1" x14ac:dyDescent="0.25">
      <c r="A797" s="2"/>
      <c r="B797" s="2"/>
      <c r="C797" s="2"/>
      <c r="D797" s="2"/>
      <c r="E797" s="2"/>
      <c r="F797" s="2"/>
    </row>
    <row r="798" spans="1:6" ht="12.75" customHeight="1" x14ac:dyDescent="0.25">
      <c r="A798" s="2"/>
      <c r="B798" s="2"/>
      <c r="C798" s="2"/>
      <c r="D798" s="2"/>
      <c r="E798" s="2"/>
      <c r="F798" s="2"/>
    </row>
    <row r="799" spans="1:6" ht="12.75" customHeight="1" x14ac:dyDescent="0.25">
      <c r="A799" s="2"/>
      <c r="B799" s="2"/>
      <c r="C799" s="2"/>
      <c r="D799" s="2"/>
      <c r="E799" s="2"/>
      <c r="F799" s="2"/>
    </row>
    <row r="800" spans="1:6" ht="12.75" customHeight="1" x14ac:dyDescent="0.25">
      <c r="A800" s="2"/>
      <c r="B800" s="2"/>
      <c r="C800" s="2"/>
      <c r="D800" s="2"/>
      <c r="E800" s="2"/>
      <c r="F800" s="2"/>
    </row>
    <row r="801" spans="1:6" ht="12.75" customHeight="1" x14ac:dyDescent="0.25">
      <c r="A801" s="2"/>
      <c r="B801" s="2"/>
      <c r="C801" s="2"/>
      <c r="D801" s="2"/>
      <c r="E801" s="2"/>
      <c r="F801" s="2"/>
    </row>
    <row r="802" spans="1:6" ht="12.75" customHeight="1" x14ac:dyDescent="0.25">
      <c r="A802" s="2"/>
      <c r="B802" s="2"/>
      <c r="C802" s="2"/>
      <c r="D802" s="2"/>
      <c r="E802" s="2"/>
      <c r="F802" s="2"/>
    </row>
    <row r="803" spans="1:6" ht="12.75" customHeight="1" x14ac:dyDescent="0.25">
      <c r="A803" s="2"/>
      <c r="B803" s="2"/>
      <c r="C803" s="2"/>
      <c r="D803" s="2"/>
      <c r="E803" s="2"/>
      <c r="F803" s="2"/>
    </row>
    <row r="804" spans="1:6" ht="12.75" customHeight="1" x14ac:dyDescent="0.25">
      <c r="A804" s="2"/>
      <c r="B804" s="2"/>
      <c r="C804" s="2"/>
      <c r="D804" s="2"/>
      <c r="E804" s="2"/>
      <c r="F804" s="2"/>
    </row>
    <row r="805" spans="1:6" ht="12.75" customHeight="1" x14ac:dyDescent="0.25">
      <c r="A805" s="2"/>
      <c r="B805" s="2"/>
      <c r="C805" s="2"/>
      <c r="D805" s="2"/>
      <c r="E805" s="2"/>
      <c r="F805" s="2"/>
    </row>
    <row r="806" spans="1:6" ht="12.75" customHeight="1" x14ac:dyDescent="0.25">
      <c r="A806" s="2"/>
      <c r="B806" s="2"/>
      <c r="C806" s="2"/>
      <c r="D806" s="2"/>
      <c r="E806" s="2"/>
      <c r="F806" s="2"/>
    </row>
    <row r="807" spans="1:6" ht="12.75" customHeight="1" x14ac:dyDescent="0.25">
      <c r="A807" s="2"/>
      <c r="B807" s="2"/>
      <c r="C807" s="2"/>
      <c r="D807" s="2"/>
      <c r="E807" s="2"/>
      <c r="F807" s="2"/>
    </row>
    <row r="808" spans="1:6" ht="12.75" customHeight="1" x14ac:dyDescent="0.25">
      <c r="A808" s="2"/>
      <c r="B808" s="2"/>
      <c r="C808" s="2"/>
      <c r="D808" s="2"/>
      <c r="E808" s="2"/>
      <c r="F808" s="2"/>
    </row>
    <row r="809" spans="1:6" ht="12.75" customHeight="1" x14ac:dyDescent="0.25">
      <c r="A809" s="2"/>
      <c r="B809" s="2"/>
      <c r="C809" s="2"/>
      <c r="D809" s="2"/>
      <c r="E809" s="2"/>
      <c r="F809" s="2"/>
    </row>
    <row r="810" spans="1:6" ht="12.75" customHeight="1" x14ac:dyDescent="0.25">
      <c r="A810" s="2"/>
      <c r="B810" s="2"/>
      <c r="C810" s="2"/>
      <c r="D810" s="2"/>
      <c r="E810" s="2"/>
      <c r="F810" s="2"/>
    </row>
    <row r="811" spans="1:6" ht="12.75" customHeight="1" x14ac:dyDescent="0.25">
      <c r="A811" s="2"/>
      <c r="B811" s="2"/>
      <c r="C811" s="2"/>
      <c r="D811" s="2"/>
      <c r="E811" s="2"/>
      <c r="F811" s="2"/>
    </row>
    <row r="812" spans="1:6" ht="12.75" customHeight="1" x14ac:dyDescent="0.25">
      <c r="A812" s="2"/>
      <c r="B812" s="2"/>
      <c r="C812" s="2"/>
      <c r="D812" s="2"/>
      <c r="E812" s="2"/>
      <c r="F812" s="2"/>
    </row>
    <row r="813" spans="1:6" ht="12.75" customHeight="1" x14ac:dyDescent="0.25">
      <c r="A813" s="2"/>
      <c r="B813" s="2"/>
      <c r="C813" s="2"/>
      <c r="D813" s="2"/>
      <c r="E813" s="2"/>
      <c r="F813" s="2"/>
    </row>
    <row r="814" spans="1:6" ht="12.75" customHeight="1" x14ac:dyDescent="0.25">
      <c r="A814" s="2"/>
      <c r="B814" s="2"/>
      <c r="C814" s="2"/>
      <c r="D814" s="2"/>
      <c r="E814" s="2"/>
      <c r="F814" s="2"/>
    </row>
    <row r="815" spans="1:6" ht="12.75" customHeight="1" x14ac:dyDescent="0.25">
      <c r="A815" s="2"/>
      <c r="B815" s="2"/>
      <c r="C815" s="2"/>
      <c r="D815" s="2"/>
      <c r="E815" s="2"/>
      <c r="F815" s="2"/>
    </row>
    <row r="816" spans="1:6" ht="12.75" customHeight="1" x14ac:dyDescent="0.25">
      <c r="A816" s="2"/>
      <c r="B816" s="2"/>
      <c r="C816" s="2"/>
      <c r="D816" s="2"/>
      <c r="E816" s="2"/>
      <c r="F816" s="2"/>
    </row>
    <row r="817" spans="1:6" ht="12.75" customHeight="1" x14ac:dyDescent="0.25">
      <c r="A817" s="2"/>
      <c r="B817" s="2"/>
      <c r="C817" s="2"/>
      <c r="D817" s="2"/>
      <c r="E817" s="2"/>
      <c r="F817" s="2"/>
    </row>
    <row r="818" spans="1:6" ht="12.75" customHeight="1" x14ac:dyDescent="0.25">
      <c r="A818" s="2"/>
      <c r="B818" s="2"/>
      <c r="C818" s="2"/>
      <c r="D818" s="2"/>
      <c r="E818" s="2"/>
      <c r="F818" s="2"/>
    </row>
    <row r="819" spans="1:6" ht="12.75" customHeight="1" x14ac:dyDescent="0.25">
      <c r="A819" s="2"/>
      <c r="B819" s="2"/>
      <c r="C819" s="2"/>
      <c r="D819" s="2"/>
      <c r="E819" s="2"/>
      <c r="F819" s="2"/>
    </row>
    <row r="820" spans="1:6" ht="12.75" customHeight="1" x14ac:dyDescent="0.25">
      <c r="A820" s="2"/>
      <c r="B820" s="2"/>
      <c r="C820" s="2"/>
      <c r="D820" s="2"/>
      <c r="E820" s="2"/>
      <c r="F820" s="2"/>
    </row>
    <row r="821" spans="1:6" ht="12.75" customHeight="1" x14ac:dyDescent="0.25">
      <c r="A821" s="2"/>
      <c r="B821" s="2"/>
      <c r="C821" s="2"/>
      <c r="D821" s="2"/>
      <c r="E821" s="2"/>
      <c r="F821" s="2"/>
    </row>
    <row r="822" spans="1:6" ht="12.75" customHeight="1" x14ac:dyDescent="0.25">
      <c r="A822" s="2"/>
      <c r="B822" s="2"/>
      <c r="C822" s="2"/>
      <c r="D822" s="2"/>
      <c r="E822" s="2"/>
      <c r="F822" s="2"/>
    </row>
    <row r="823" spans="1:6" ht="12.75" customHeight="1" x14ac:dyDescent="0.25">
      <c r="A823" s="2"/>
      <c r="B823" s="2"/>
      <c r="C823" s="2"/>
      <c r="D823" s="2"/>
      <c r="E823" s="2"/>
      <c r="F823" s="2"/>
    </row>
    <row r="824" spans="1:6" ht="12.75" customHeight="1" x14ac:dyDescent="0.25">
      <c r="A824" s="2"/>
      <c r="B824" s="2"/>
      <c r="C824" s="2"/>
      <c r="D824" s="2"/>
      <c r="E824" s="2"/>
      <c r="F824" s="2"/>
    </row>
    <row r="825" spans="1:6" ht="12.75" customHeight="1" x14ac:dyDescent="0.25">
      <c r="A825" s="2"/>
      <c r="B825" s="2"/>
      <c r="C825" s="2"/>
      <c r="D825" s="2"/>
      <c r="E825" s="2"/>
      <c r="F825" s="2"/>
    </row>
    <row r="826" spans="1:6" ht="12.75" customHeight="1" x14ac:dyDescent="0.25">
      <c r="A826" s="2"/>
      <c r="B826" s="2"/>
      <c r="C826" s="2"/>
      <c r="D826" s="2"/>
      <c r="E826" s="2"/>
      <c r="F826" s="2"/>
    </row>
    <row r="827" spans="1:6" ht="12.75" customHeight="1" x14ac:dyDescent="0.25">
      <c r="A827" s="2"/>
      <c r="B827" s="2"/>
      <c r="C827" s="2"/>
      <c r="D827" s="2"/>
      <c r="E827" s="2"/>
      <c r="F827" s="2"/>
    </row>
    <row r="828" spans="1:6" ht="12.75" customHeight="1" x14ac:dyDescent="0.25">
      <c r="A828" s="2"/>
      <c r="B828" s="2"/>
      <c r="C828" s="2"/>
      <c r="D828" s="2"/>
      <c r="E828" s="2"/>
      <c r="F828" s="2"/>
    </row>
    <row r="829" spans="1:6" ht="12.75" customHeight="1" x14ac:dyDescent="0.25">
      <c r="A829" s="2"/>
      <c r="B829" s="2"/>
      <c r="C829" s="2"/>
      <c r="D829" s="2"/>
      <c r="E829" s="2"/>
      <c r="F829" s="2"/>
    </row>
    <row r="830" spans="1:6" ht="12.75" customHeight="1" x14ac:dyDescent="0.25">
      <c r="A830" s="2"/>
      <c r="B830" s="2"/>
      <c r="C830" s="2"/>
      <c r="D830" s="2"/>
      <c r="E830" s="2"/>
      <c r="F830" s="2"/>
    </row>
    <row r="831" spans="1:6" ht="12.75" customHeight="1" x14ac:dyDescent="0.25">
      <c r="A831" s="2"/>
      <c r="B831" s="2"/>
      <c r="C831" s="2"/>
      <c r="D831" s="2"/>
      <c r="E831" s="2"/>
      <c r="F831" s="2"/>
    </row>
    <row r="832" spans="1:6" ht="12.75" customHeight="1" x14ac:dyDescent="0.25">
      <c r="A832" s="2"/>
      <c r="B832" s="2"/>
      <c r="C832" s="2"/>
      <c r="D832" s="2"/>
      <c r="E832" s="2"/>
      <c r="F832" s="2"/>
    </row>
    <row r="833" spans="1:6" ht="12.75" customHeight="1" x14ac:dyDescent="0.25">
      <c r="A833" s="2"/>
      <c r="B833" s="2"/>
      <c r="C833" s="2"/>
      <c r="D833" s="2"/>
      <c r="E833" s="2"/>
      <c r="F833" s="2"/>
    </row>
    <row r="834" spans="1:6" ht="12.75" customHeight="1" x14ac:dyDescent="0.25">
      <c r="A834" s="2"/>
      <c r="B834" s="2"/>
      <c r="C834" s="2"/>
      <c r="D834" s="2"/>
      <c r="E834" s="2"/>
      <c r="F834" s="2"/>
    </row>
    <row r="835" spans="1:6" ht="12.75" customHeight="1" x14ac:dyDescent="0.25">
      <c r="A835" s="2"/>
      <c r="B835" s="2"/>
      <c r="C835" s="2"/>
      <c r="D835" s="2"/>
      <c r="E835" s="2"/>
      <c r="F835" s="2"/>
    </row>
    <row r="836" spans="1:6" ht="12.75" customHeight="1" x14ac:dyDescent="0.25">
      <c r="A836" s="2"/>
      <c r="B836" s="2"/>
      <c r="C836" s="2"/>
      <c r="D836" s="2"/>
      <c r="E836" s="2"/>
      <c r="F836" s="2"/>
    </row>
    <row r="837" spans="1:6" ht="12.75" customHeight="1" x14ac:dyDescent="0.25">
      <c r="A837" s="2"/>
      <c r="B837" s="2"/>
      <c r="C837" s="2"/>
      <c r="D837" s="2"/>
      <c r="E837" s="2"/>
      <c r="F837" s="2"/>
    </row>
    <row r="838" spans="1:6" ht="12.75" customHeight="1" x14ac:dyDescent="0.25">
      <c r="A838" s="2"/>
      <c r="B838" s="2"/>
      <c r="C838" s="2"/>
      <c r="D838" s="2"/>
      <c r="E838" s="2"/>
      <c r="F838" s="2"/>
    </row>
    <row r="839" spans="1:6" ht="12.75" customHeight="1" x14ac:dyDescent="0.25">
      <c r="A839" s="2"/>
      <c r="B839" s="2"/>
      <c r="C839" s="2"/>
      <c r="D839" s="2"/>
      <c r="E839" s="2"/>
      <c r="F839" s="2"/>
    </row>
    <row r="840" spans="1:6" ht="12.75" customHeight="1" x14ac:dyDescent="0.25">
      <c r="A840" s="2"/>
      <c r="B840" s="2"/>
      <c r="C840" s="2"/>
      <c r="D840" s="2"/>
      <c r="E840" s="2"/>
      <c r="F840" s="2"/>
    </row>
    <row r="841" spans="1:6" ht="12.75" customHeight="1" x14ac:dyDescent="0.25">
      <c r="A841" s="2"/>
      <c r="B841" s="2"/>
      <c r="C841" s="2"/>
      <c r="D841" s="2"/>
      <c r="E841" s="2"/>
      <c r="F841" s="2"/>
    </row>
    <row r="842" spans="1:6" ht="12.75" customHeight="1" x14ac:dyDescent="0.25">
      <c r="A842" s="2"/>
      <c r="B842" s="2"/>
      <c r="C842" s="2"/>
      <c r="D842" s="2"/>
      <c r="E842" s="2"/>
      <c r="F842" s="2"/>
    </row>
    <row r="843" spans="1:6" ht="12.75" customHeight="1" x14ac:dyDescent="0.25">
      <c r="A843" s="2"/>
      <c r="B843" s="2"/>
      <c r="C843" s="2"/>
      <c r="D843" s="2"/>
      <c r="E843" s="2"/>
      <c r="F843" s="2"/>
    </row>
    <row r="844" spans="1:6" ht="12.75" customHeight="1" x14ac:dyDescent="0.25">
      <c r="A844" s="2"/>
      <c r="B844" s="2"/>
      <c r="C844" s="2"/>
      <c r="D844" s="2"/>
      <c r="E844" s="2"/>
      <c r="F844" s="2"/>
    </row>
    <row r="845" spans="1:6" ht="12.75" customHeight="1" x14ac:dyDescent="0.25">
      <c r="A845" s="2"/>
      <c r="B845" s="2"/>
      <c r="C845" s="2"/>
      <c r="D845" s="2"/>
      <c r="E845" s="2"/>
      <c r="F845" s="2"/>
    </row>
    <row r="846" spans="1:6" ht="12.75" customHeight="1" x14ac:dyDescent="0.25">
      <c r="A846" s="2"/>
      <c r="B846" s="2"/>
      <c r="C846" s="2"/>
      <c r="D846" s="2"/>
      <c r="E846" s="2"/>
      <c r="F846" s="2"/>
    </row>
    <row r="847" spans="1:6" ht="12.75" customHeight="1" x14ac:dyDescent="0.25">
      <c r="A847" s="2"/>
      <c r="B847" s="2"/>
      <c r="C847" s="2"/>
      <c r="D847" s="2"/>
      <c r="E847" s="2"/>
      <c r="F847" s="2"/>
    </row>
    <row r="848" spans="1:6" ht="12.75" customHeight="1" x14ac:dyDescent="0.25">
      <c r="A848" s="2"/>
      <c r="B848" s="2"/>
      <c r="C848" s="2"/>
      <c r="D848" s="2"/>
      <c r="E848" s="2"/>
      <c r="F848" s="2"/>
    </row>
    <row r="849" spans="1:6" ht="12.75" customHeight="1" x14ac:dyDescent="0.25">
      <c r="A849" s="2"/>
      <c r="B849" s="2"/>
      <c r="C849" s="2"/>
      <c r="D849" s="2"/>
      <c r="E849" s="2"/>
      <c r="F849" s="2"/>
    </row>
    <row r="850" spans="1:6" ht="12.75" customHeight="1" x14ac:dyDescent="0.25">
      <c r="A850" s="2"/>
      <c r="B850" s="2"/>
      <c r="C850" s="2"/>
      <c r="D850" s="2"/>
      <c r="E850" s="2"/>
      <c r="F850" s="2"/>
    </row>
    <row r="851" spans="1:6" ht="12.75" customHeight="1" x14ac:dyDescent="0.25">
      <c r="A851" s="2"/>
      <c r="B851" s="2"/>
      <c r="C851" s="2"/>
      <c r="D851" s="2"/>
      <c r="E851" s="2"/>
      <c r="F851" s="2"/>
    </row>
    <row r="852" spans="1:6" ht="12.75" customHeight="1" x14ac:dyDescent="0.25">
      <c r="A852" s="2"/>
      <c r="B852" s="2"/>
      <c r="C852" s="2"/>
      <c r="D852" s="2"/>
      <c r="E852" s="2"/>
      <c r="F852" s="2"/>
    </row>
    <row r="853" spans="1:6" ht="12.75" customHeight="1" x14ac:dyDescent="0.25">
      <c r="A853" s="2"/>
      <c r="B853" s="2"/>
      <c r="C853" s="2"/>
      <c r="D853" s="2"/>
      <c r="E853" s="2"/>
      <c r="F853" s="2"/>
    </row>
    <row r="854" spans="1:6" ht="12.75" customHeight="1" x14ac:dyDescent="0.25">
      <c r="A854" s="2"/>
      <c r="B854" s="2"/>
      <c r="C854" s="2"/>
      <c r="D854" s="2"/>
      <c r="E854" s="2"/>
      <c r="F854" s="2"/>
    </row>
    <row r="855" spans="1:6" ht="12.75" customHeight="1" x14ac:dyDescent="0.25">
      <c r="A855" s="2"/>
      <c r="B855" s="2"/>
      <c r="C855" s="2"/>
      <c r="D855" s="2"/>
      <c r="E855" s="2"/>
      <c r="F855" s="2"/>
    </row>
    <row r="856" spans="1:6" ht="12.75" customHeight="1" x14ac:dyDescent="0.25">
      <c r="A856" s="2"/>
      <c r="B856" s="2"/>
      <c r="C856" s="2"/>
      <c r="D856" s="2"/>
      <c r="E856" s="2"/>
      <c r="F856" s="2"/>
    </row>
    <row r="857" spans="1:6" ht="12.75" customHeight="1" x14ac:dyDescent="0.25">
      <c r="A857" s="2"/>
      <c r="B857" s="2"/>
      <c r="C857" s="2"/>
      <c r="D857" s="2"/>
      <c r="E857" s="2"/>
      <c r="F857" s="2"/>
    </row>
    <row r="858" spans="1:6" ht="12.75" customHeight="1" x14ac:dyDescent="0.25">
      <c r="A858" s="2"/>
      <c r="B858" s="2"/>
      <c r="C858" s="2"/>
      <c r="D858" s="2"/>
      <c r="E858" s="2"/>
      <c r="F858" s="2"/>
    </row>
    <row r="859" spans="1:6" ht="12.75" customHeight="1" x14ac:dyDescent="0.25">
      <c r="A859" s="2"/>
      <c r="B859" s="2"/>
      <c r="C859" s="2"/>
      <c r="D859" s="2"/>
      <c r="E859" s="2"/>
      <c r="F859" s="2"/>
    </row>
    <row r="860" spans="1:6" ht="12.75" customHeight="1" x14ac:dyDescent="0.25">
      <c r="A860" s="2"/>
      <c r="B860" s="2"/>
      <c r="C860" s="2"/>
      <c r="D860" s="2"/>
      <c r="E860" s="2"/>
      <c r="F860" s="2"/>
    </row>
    <row r="861" spans="1:6" ht="12.75" customHeight="1" x14ac:dyDescent="0.25">
      <c r="A861" s="2"/>
      <c r="B861" s="2"/>
      <c r="C861" s="2"/>
      <c r="D861" s="2"/>
      <c r="E861" s="2"/>
      <c r="F861" s="2"/>
    </row>
    <row r="862" spans="1:6" ht="12.75" customHeight="1" x14ac:dyDescent="0.25">
      <c r="A862" s="2"/>
      <c r="B862" s="2"/>
      <c r="C862" s="2"/>
      <c r="D862" s="2"/>
      <c r="E862" s="2"/>
      <c r="F862" s="2"/>
    </row>
    <row r="863" spans="1:6" ht="12.75" customHeight="1" x14ac:dyDescent="0.25">
      <c r="A863" s="2"/>
      <c r="B863" s="2"/>
      <c r="C863" s="2"/>
      <c r="D863" s="2"/>
      <c r="E863" s="2"/>
      <c r="F863" s="2"/>
    </row>
    <row r="864" spans="1:6" ht="12.75" customHeight="1" x14ac:dyDescent="0.25">
      <c r="A864" s="2"/>
      <c r="B864" s="2"/>
      <c r="C864" s="2"/>
      <c r="D864" s="2"/>
      <c r="E864" s="2"/>
      <c r="F864" s="2"/>
    </row>
    <row r="865" spans="1:6" ht="12.75" customHeight="1" x14ac:dyDescent="0.25">
      <c r="A865" s="2"/>
      <c r="B865" s="2"/>
      <c r="C865" s="2"/>
      <c r="D865" s="2"/>
      <c r="E865" s="2"/>
      <c r="F865" s="2"/>
    </row>
    <row r="866" spans="1:6" ht="12.75" customHeight="1" x14ac:dyDescent="0.25">
      <c r="A866" s="2"/>
      <c r="B866" s="2"/>
      <c r="C866" s="2"/>
      <c r="D866" s="2"/>
      <c r="E866" s="2"/>
      <c r="F866" s="2"/>
    </row>
    <row r="867" spans="1:6" ht="12.75" customHeight="1" x14ac:dyDescent="0.25">
      <c r="A867" s="2"/>
      <c r="B867" s="2"/>
      <c r="C867" s="2"/>
      <c r="D867" s="2"/>
      <c r="E867" s="2"/>
      <c r="F867" s="2"/>
    </row>
    <row r="868" spans="1:6" ht="12.75" customHeight="1" x14ac:dyDescent="0.25">
      <c r="A868" s="2"/>
      <c r="B868" s="2"/>
      <c r="C868" s="2"/>
      <c r="D868" s="2"/>
      <c r="E868" s="2"/>
      <c r="F868" s="2"/>
    </row>
    <row r="869" spans="1:6" ht="12.75" customHeight="1" x14ac:dyDescent="0.25">
      <c r="A869" s="2"/>
      <c r="B869" s="2"/>
      <c r="C869" s="2"/>
      <c r="D869" s="2"/>
      <c r="E869" s="2"/>
      <c r="F869" s="2"/>
    </row>
    <row r="870" spans="1:6" ht="12.75" customHeight="1" x14ac:dyDescent="0.25">
      <c r="A870" s="2"/>
      <c r="B870" s="2"/>
      <c r="C870" s="2"/>
      <c r="D870" s="2"/>
      <c r="E870" s="2"/>
      <c r="F870" s="2"/>
    </row>
    <row r="871" spans="1:6" ht="12.75" customHeight="1" x14ac:dyDescent="0.25">
      <c r="A871" s="2"/>
      <c r="B871" s="2"/>
      <c r="C871" s="2"/>
      <c r="D871" s="2"/>
      <c r="E871" s="2"/>
      <c r="F871" s="2"/>
    </row>
    <row r="872" spans="1:6" ht="12.75" customHeight="1" x14ac:dyDescent="0.25">
      <c r="A872" s="2"/>
      <c r="B872" s="2"/>
      <c r="C872" s="2"/>
      <c r="D872" s="2"/>
      <c r="E872" s="2"/>
      <c r="F872" s="2"/>
    </row>
    <row r="873" spans="1:6" ht="12.75" customHeight="1" x14ac:dyDescent="0.25">
      <c r="A873" s="2"/>
      <c r="B873" s="2"/>
      <c r="C873" s="2"/>
      <c r="D873" s="2"/>
      <c r="E873" s="2"/>
      <c r="F873" s="2"/>
    </row>
    <row r="874" spans="1:6" ht="12.75" customHeight="1" x14ac:dyDescent="0.25">
      <c r="A874" s="2"/>
      <c r="B874" s="2"/>
      <c r="C874" s="2"/>
      <c r="D874" s="2"/>
      <c r="E874" s="2"/>
      <c r="F874" s="2"/>
    </row>
    <row r="875" spans="1:6" ht="12.75" customHeight="1" x14ac:dyDescent="0.25">
      <c r="A875" s="2"/>
      <c r="B875" s="2"/>
      <c r="C875" s="2"/>
      <c r="D875" s="2"/>
      <c r="E875" s="2"/>
      <c r="F875" s="2"/>
    </row>
    <row r="876" spans="1:6" ht="12.75" customHeight="1" x14ac:dyDescent="0.25">
      <c r="A876" s="2"/>
      <c r="B876" s="2"/>
      <c r="C876" s="2"/>
      <c r="D876" s="2"/>
      <c r="E876" s="2"/>
      <c r="F876" s="2"/>
    </row>
    <row r="877" spans="1:6" ht="12.75" customHeight="1" x14ac:dyDescent="0.25">
      <c r="A877" s="2"/>
      <c r="B877" s="2"/>
      <c r="C877" s="2"/>
      <c r="D877" s="2"/>
      <c r="E877" s="2"/>
      <c r="F877" s="2"/>
    </row>
    <row r="878" spans="1:6" ht="12.75" customHeight="1" x14ac:dyDescent="0.25">
      <c r="A878" s="2"/>
      <c r="B878" s="2"/>
      <c r="C878" s="2"/>
      <c r="D878" s="2"/>
      <c r="E878" s="2"/>
      <c r="F878" s="2"/>
    </row>
    <row r="879" spans="1:6" ht="12.75" customHeight="1" x14ac:dyDescent="0.25">
      <c r="A879" s="2"/>
      <c r="B879" s="2"/>
      <c r="C879" s="2"/>
      <c r="D879" s="2"/>
      <c r="E879" s="2"/>
      <c r="F879" s="2"/>
    </row>
    <row r="880" spans="1:6" ht="12.75" customHeight="1" x14ac:dyDescent="0.25">
      <c r="A880" s="2"/>
      <c r="B880" s="2"/>
      <c r="C880" s="2"/>
      <c r="D880" s="2"/>
      <c r="E880" s="2"/>
      <c r="F880" s="2"/>
    </row>
    <row r="881" spans="1:6" ht="12.75" customHeight="1" x14ac:dyDescent="0.25">
      <c r="A881" s="2"/>
      <c r="B881" s="2"/>
      <c r="C881" s="2"/>
      <c r="D881" s="2"/>
      <c r="E881" s="2"/>
      <c r="F881" s="2"/>
    </row>
    <row r="882" spans="1:6" ht="12.75" customHeight="1" x14ac:dyDescent="0.25">
      <c r="A882" s="2"/>
      <c r="B882" s="2"/>
      <c r="C882" s="2"/>
      <c r="D882" s="2"/>
      <c r="E882" s="2"/>
      <c r="F882" s="2"/>
    </row>
    <row r="883" spans="1:6" ht="12.75" customHeight="1" x14ac:dyDescent="0.25">
      <c r="A883" s="2"/>
      <c r="B883" s="2"/>
      <c r="C883" s="2"/>
      <c r="D883" s="2"/>
      <c r="E883" s="2"/>
      <c r="F883" s="2"/>
    </row>
    <row r="884" spans="1:6" ht="12.75" customHeight="1" x14ac:dyDescent="0.25">
      <c r="A884" s="2"/>
      <c r="B884" s="2"/>
      <c r="C884" s="2"/>
      <c r="D884" s="2"/>
      <c r="E884" s="2"/>
      <c r="F884" s="2"/>
    </row>
    <row r="885" spans="1:6" ht="12.75" customHeight="1" x14ac:dyDescent="0.25">
      <c r="A885" s="2"/>
      <c r="B885" s="2"/>
      <c r="C885" s="2"/>
      <c r="D885" s="2"/>
      <c r="E885" s="2"/>
      <c r="F885" s="2"/>
    </row>
    <row r="886" spans="1:6" ht="12.75" customHeight="1" x14ac:dyDescent="0.25">
      <c r="A886" s="2"/>
      <c r="B886" s="2"/>
      <c r="C886" s="2"/>
      <c r="D886" s="2"/>
      <c r="E886" s="2"/>
      <c r="F886" s="2"/>
    </row>
    <row r="887" spans="1:6" ht="12.75" customHeight="1" x14ac:dyDescent="0.25">
      <c r="A887" s="2"/>
      <c r="B887" s="2"/>
      <c r="C887" s="2"/>
      <c r="D887" s="2"/>
      <c r="E887" s="2"/>
      <c r="F887" s="2"/>
    </row>
    <row r="888" spans="1:6" ht="12.75" customHeight="1" x14ac:dyDescent="0.25">
      <c r="A888" s="2"/>
      <c r="B888" s="2"/>
      <c r="C888" s="2"/>
      <c r="D888" s="2"/>
      <c r="E888" s="2"/>
      <c r="F888" s="2"/>
    </row>
    <row r="889" spans="1:6" ht="12.75" customHeight="1" x14ac:dyDescent="0.25">
      <c r="A889" s="2"/>
      <c r="B889" s="2"/>
      <c r="C889" s="2"/>
      <c r="D889" s="2"/>
      <c r="E889" s="2"/>
      <c r="F889" s="2"/>
    </row>
    <row r="890" spans="1:6" ht="12.75" customHeight="1" x14ac:dyDescent="0.25">
      <c r="A890" s="2"/>
      <c r="B890" s="2"/>
      <c r="C890" s="2"/>
      <c r="D890" s="2"/>
      <c r="E890" s="2"/>
      <c r="F890" s="2"/>
    </row>
    <row r="891" spans="1:6" ht="12.75" customHeight="1" x14ac:dyDescent="0.25">
      <c r="A891" s="2"/>
      <c r="B891" s="2"/>
      <c r="C891" s="2"/>
      <c r="D891" s="2"/>
      <c r="E891" s="2"/>
      <c r="F891" s="2"/>
    </row>
    <row r="892" spans="1:6" ht="12.75" customHeight="1" x14ac:dyDescent="0.25">
      <c r="A892" s="2"/>
      <c r="B892" s="2"/>
      <c r="C892" s="2"/>
      <c r="D892" s="2"/>
      <c r="E892" s="2"/>
      <c r="F892" s="2"/>
    </row>
    <row r="893" spans="1:6" ht="12.75" customHeight="1" x14ac:dyDescent="0.25">
      <c r="A893" s="2"/>
      <c r="B893" s="2"/>
      <c r="C893" s="2"/>
      <c r="D893" s="2"/>
      <c r="E893" s="2"/>
      <c r="F893" s="2"/>
    </row>
    <row r="894" spans="1:6" ht="12.75" customHeight="1" x14ac:dyDescent="0.25">
      <c r="A894" s="2"/>
      <c r="B894" s="2"/>
      <c r="C894" s="2"/>
      <c r="D894" s="2"/>
      <c r="E894" s="2"/>
      <c r="F894" s="2"/>
    </row>
    <row r="895" spans="1:6" ht="12.75" customHeight="1" x14ac:dyDescent="0.25">
      <c r="A895" s="2"/>
      <c r="B895" s="2"/>
      <c r="C895" s="2"/>
      <c r="D895" s="2"/>
      <c r="E895" s="2"/>
      <c r="F895" s="2"/>
    </row>
    <row r="896" spans="1:6" ht="12.75" customHeight="1" x14ac:dyDescent="0.25">
      <c r="A896" s="2"/>
      <c r="B896" s="2"/>
      <c r="C896" s="2"/>
      <c r="D896" s="2"/>
      <c r="E896" s="2"/>
      <c r="F896" s="2"/>
    </row>
    <row r="897" spans="1:6" ht="12.75" customHeight="1" x14ac:dyDescent="0.25">
      <c r="A897" s="2"/>
      <c r="B897" s="2"/>
      <c r="C897" s="2"/>
      <c r="D897" s="2"/>
      <c r="E897" s="2"/>
      <c r="F897" s="2"/>
    </row>
    <row r="898" spans="1:6" ht="12.75" customHeight="1" x14ac:dyDescent="0.25">
      <c r="A898" s="2"/>
      <c r="B898" s="2"/>
      <c r="C898" s="2"/>
      <c r="D898" s="2"/>
      <c r="E898" s="2"/>
      <c r="F898" s="2"/>
    </row>
    <row r="899" spans="1:6" ht="12.75" customHeight="1" x14ac:dyDescent="0.25">
      <c r="A899" s="2"/>
      <c r="B899" s="2"/>
      <c r="C899" s="2"/>
      <c r="D899" s="2"/>
      <c r="E899" s="2"/>
      <c r="F899" s="2"/>
    </row>
    <row r="900" spans="1:6" ht="12.75" customHeight="1" x14ac:dyDescent="0.25">
      <c r="A900" s="2"/>
      <c r="B900" s="2"/>
      <c r="C900" s="2"/>
      <c r="D900" s="2"/>
      <c r="E900" s="2"/>
      <c r="F900" s="2"/>
    </row>
    <row r="901" spans="1:6" ht="12.75" customHeight="1" x14ac:dyDescent="0.25">
      <c r="A901" s="2"/>
      <c r="B901" s="2"/>
      <c r="C901" s="2"/>
      <c r="D901" s="2"/>
      <c r="E901" s="2"/>
      <c r="F901" s="2"/>
    </row>
    <row r="902" spans="1:6" ht="12.75" customHeight="1" x14ac:dyDescent="0.25">
      <c r="A902" s="2"/>
      <c r="B902" s="2"/>
      <c r="C902" s="2"/>
      <c r="D902" s="2"/>
      <c r="E902" s="2"/>
      <c r="F902" s="2"/>
    </row>
    <row r="903" spans="1:6" ht="12.75" customHeight="1" x14ac:dyDescent="0.25">
      <c r="A903" s="2"/>
      <c r="B903" s="2"/>
      <c r="C903" s="2"/>
      <c r="D903" s="2"/>
      <c r="E903" s="2"/>
      <c r="F903" s="2"/>
    </row>
    <row r="904" spans="1:6" ht="12.75" customHeight="1" x14ac:dyDescent="0.25">
      <c r="A904" s="2"/>
      <c r="B904" s="2"/>
      <c r="C904" s="2"/>
      <c r="D904" s="2"/>
      <c r="E904" s="2"/>
      <c r="F904" s="2"/>
    </row>
    <row r="905" spans="1:6" ht="12.75" customHeight="1" x14ac:dyDescent="0.25">
      <c r="A905" s="2"/>
      <c r="B905" s="2"/>
      <c r="C905" s="2"/>
      <c r="D905" s="2"/>
      <c r="E905" s="2"/>
      <c r="F905" s="2"/>
    </row>
    <row r="906" spans="1:6" ht="12.75" customHeight="1" x14ac:dyDescent="0.25">
      <c r="A906" s="2"/>
      <c r="B906" s="2"/>
      <c r="C906" s="2"/>
      <c r="D906" s="2"/>
      <c r="E906" s="2"/>
      <c r="F906" s="2"/>
    </row>
    <row r="907" spans="1:6" ht="12.75" customHeight="1" x14ac:dyDescent="0.25">
      <c r="A907" s="2"/>
      <c r="B907" s="2"/>
      <c r="C907" s="2"/>
      <c r="D907" s="2"/>
      <c r="E907" s="2"/>
      <c r="F907" s="2"/>
    </row>
    <row r="908" spans="1:6" ht="12.75" customHeight="1" x14ac:dyDescent="0.25">
      <c r="A908" s="2"/>
      <c r="B908" s="2"/>
      <c r="C908" s="2"/>
      <c r="D908" s="2"/>
      <c r="E908" s="2"/>
      <c r="F908" s="2"/>
    </row>
    <row r="909" spans="1:6" ht="12.75" customHeight="1" x14ac:dyDescent="0.25">
      <c r="A909" s="2"/>
      <c r="B909" s="2"/>
      <c r="C909" s="2"/>
      <c r="D909" s="2"/>
      <c r="E909" s="2"/>
      <c r="F909" s="2"/>
    </row>
    <row r="910" spans="1:6" ht="12.75" customHeight="1" x14ac:dyDescent="0.25">
      <c r="A910" s="2"/>
      <c r="B910" s="2"/>
      <c r="C910" s="2"/>
      <c r="D910" s="2"/>
      <c r="E910" s="2"/>
      <c r="F910" s="2"/>
    </row>
    <row r="911" spans="1:6" ht="12.75" customHeight="1" x14ac:dyDescent="0.25">
      <c r="A911" s="2"/>
      <c r="B911" s="2"/>
      <c r="C911" s="2"/>
      <c r="D911" s="2"/>
      <c r="E911" s="2"/>
      <c r="F911" s="2"/>
    </row>
    <row r="912" spans="1:6" ht="12.75" customHeight="1" x14ac:dyDescent="0.25">
      <c r="A912" s="2"/>
      <c r="B912" s="2"/>
      <c r="C912" s="2"/>
      <c r="D912" s="2"/>
      <c r="E912" s="2"/>
      <c r="F912" s="2"/>
    </row>
    <row r="913" spans="1:6" ht="12.75" customHeight="1" x14ac:dyDescent="0.25">
      <c r="A913" s="2"/>
      <c r="B913" s="2"/>
      <c r="C913" s="2"/>
      <c r="D913" s="2"/>
      <c r="E913" s="2"/>
      <c r="F913" s="2"/>
    </row>
    <row r="914" spans="1:6" ht="12.75" customHeight="1" x14ac:dyDescent="0.25">
      <c r="A914" s="2"/>
      <c r="B914" s="2"/>
      <c r="C914" s="2"/>
      <c r="D914" s="2"/>
      <c r="E914" s="2"/>
      <c r="F914" s="2"/>
    </row>
    <row r="915" spans="1:6" ht="12.75" customHeight="1" x14ac:dyDescent="0.25">
      <c r="A915" s="2"/>
      <c r="B915" s="2"/>
      <c r="C915" s="2"/>
      <c r="D915" s="2"/>
      <c r="E915" s="2"/>
      <c r="F915" s="2"/>
    </row>
    <row r="916" spans="1:6" ht="12.75" customHeight="1" x14ac:dyDescent="0.25">
      <c r="A916" s="2"/>
      <c r="B916" s="2"/>
      <c r="C916" s="2"/>
      <c r="D916" s="2"/>
      <c r="E916" s="2"/>
      <c r="F916" s="2"/>
    </row>
    <row r="917" spans="1:6" ht="12.75" customHeight="1" x14ac:dyDescent="0.25">
      <c r="A917" s="2"/>
      <c r="B917" s="2"/>
      <c r="C917" s="2"/>
      <c r="D917" s="2"/>
      <c r="E917" s="2"/>
      <c r="F917" s="2"/>
    </row>
    <row r="918" spans="1:6" ht="12.75" customHeight="1" x14ac:dyDescent="0.25">
      <c r="A918" s="2"/>
      <c r="B918" s="2"/>
      <c r="C918" s="2"/>
      <c r="D918" s="2"/>
      <c r="E918" s="2"/>
      <c r="F918" s="2"/>
    </row>
    <row r="919" spans="1:6" ht="12.75" customHeight="1" x14ac:dyDescent="0.25">
      <c r="A919" s="2"/>
      <c r="B919" s="2"/>
      <c r="C919" s="2"/>
      <c r="D919" s="2"/>
      <c r="E919" s="2"/>
      <c r="F919" s="2"/>
    </row>
    <row r="920" spans="1:6" ht="12.75" customHeight="1" x14ac:dyDescent="0.25">
      <c r="A920" s="2"/>
      <c r="B920" s="2"/>
      <c r="C920" s="2"/>
      <c r="D920" s="2"/>
      <c r="E920" s="2"/>
      <c r="F920" s="2"/>
    </row>
    <row r="921" spans="1:6" ht="12.75" customHeight="1" x14ac:dyDescent="0.25">
      <c r="A921" s="2"/>
      <c r="B921" s="2"/>
      <c r="C921" s="2"/>
      <c r="D921" s="2"/>
      <c r="E921" s="2"/>
      <c r="F921" s="2"/>
    </row>
    <row r="922" spans="1:6" ht="12.75" customHeight="1" x14ac:dyDescent="0.25">
      <c r="A922" s="2"/>
      <c r="B922" s="2"/>
      <c r="C922" s="2"/>
      <c r="D922" s="2"/>
      <c r="E922" s="2"/>
      <c r="F922" s="2"/>
    </row>
    <row r="923" spans="1:6" ht="12.75" customHeight="1" x14ac:dyDescent="0.25">
      <c r="A923" s="2"/>
      <c r="B923" s="2"/>
      <c r="C923" s="2"/>
      <c r="D923" s="2"/>
      <c r="E923" s="2"/>
      <c r="F923" s="2"/>
    </row>
    <row r="924" spans="1:6" ht="12.75" customHeight="1" x14ac:dyDescent="0.25">
      <c r="A924" s="2"/>
      <c r="B924" s="2"/>
      <c r="C924" s="2"/>
      <c r="D924" s="2"/>
      <c r="E924" s="2"/>
      <c r="F924" s="2"/>
    </row>
    <row r="925" spans="1:6" ht="12.75" customHeight="1" x14ac:dyDescent="0.25">
      <c r="A925" s="2"/>
      <c r="B925" s="2"/>
      <c r="C925" s="2"/>
      <c r="D925" s="2"/>
      <c r="E925" s="2"/>
      <c r="F925" s="2"/>
    </row>
    <row r="926" spans="1:6" ht="12.75" customHeight="1" x14ac:dyDescent="0.25">
      <c r="A926" s="2"/>
      <c r="B926" s="2"/>
      <c r="C926" s="2"/>
      <c r="D926" s="2"/>
      <c r="E926" s="2"/>
      <c r="F926" s="2"/>
    </row>
    <row r="927" spans="1:6" ht="12.75" customHeight="1" x14ac:dyDescent="0.25">
      <c r="A927" s="2"/>
      <c r="B927" s="2"/>
      <c r="C927" s="2"/>
      <c r="D927" s="2"/>
      <c r="E927" s="2"/>
      <c r="F927" s="2"/>
    </row>
    <row r="928" spans="1:6" ht="12.75" customHeight="1" x14ac:dyDescent="0.25">
      <c r="A928" s="2"/>
      <c r="B928" s="2"/>
      <c r="C928" s="2"/>
      <c r="D928" s="2"/>
      <c r="E928" s="2"/>
      <c r="F928" s="2"/>
    </row>
    <row r="929" spans="1:6" ht="12.75" customHeight="1" x14ac:dyDescent="0.25">
      <c r="A929" s="2"/>
      <c r="B929" s="2"/>
      <c r="C929" s="2"/>
      <c r="D929" s="2"/>
      <c r="E929" s="2"/>
      <c r="F929" s="2"/>
    </row>
    <row r="930" spans="1:6" ht="12.75" customHeight="1" x14ac:dyDescent="0.25">
      <c r="A930" s="2"/>
      <c r="B930" s="2"/>
      <c r="C930" s="2"/>
      <c r="D930" s="2"/>
      <c r="E930" s="2"/>
      <c r="F930" s="2"/>
    </row>
    <row r="931" spans="1:6" ht="12.75" customHeight="1" x14ac:dyDescent="0.25">
      <c r="A931" s="2"/>
      <c r="B931" s="2"/>
      <c r="C931" s="2"/>
      <c r="D931" s="2"/>
      <c r="E931" s="2"/>
      <c r="F931" s="2"/>
    </row>
    <row r="932" spans="1:6" ht="12.75" customHeight="1" x14ac:dyDescent="0.25">
      <c r="A932" s="2"/>
      <c r="B932" s="2"/>
      <c r="C932" s="2"/>
      <c r="D932" s="2"/>
      <c r="E932" s="2"/>
      <c r="F932" s="2"/>
    </row>
    <row r="933" spans="1:6" ht="12.75" customHeight="1" x14ac:dyDescent="0.25">
      <c r="A933" s="2"/>
      <c r="B933" s="2"/>
      <c r="C933" s="2"/>
      <c r="D933" s="2"/>
      <c r="E933" s="2"/>
      <c r="F933" s="2"/>
    </row>
    <row r="934" spans="1:6" ht="12.75" customHeight="1" x14ac:dyDescent="0.25">
      <c r="A934" s="2"/>
      <c r="B934" s="2"/>
      <c r="C934" s="2"/>
      <c r="D934" s="2"/>
      <c r="E934" s="2"/>
      <c r="F934" s="2"/>
    </row>
    <row r="935" spans="1:6" ht="12.75" customHeight="1" x14ac:dyDescent="0.25">
      <c r="A935" s="2"/>
      <c r="B935" s="2"/>
      <c r="C935" s="2"/>
      <c r="D935" s="2"/>
      <c r="E935" s="2"/>
      <c r="F935" s="2"/>
    </row>
    <row r="936" spans="1:6" ht="12.75" customHeight="1" x14ac:dyDescent="0.25">
      <c r="A936" s="2"/>
      <c r="B936" s="2"/>
      <c r="C936" s="2"/>
      <c r="D936" s="2"/>
      <c r="E936" s="2"/>
      <c r="F936" s="2"/>
    </row>
    <row r="937" spans="1:6" ht="12.75" customHeight="1" x14ac:dyDescent="0.25">
      <c r="A937" s="2"/>
      <c r="B937" s="2"/>
      <c r="C937" s="2"/>
      <c r="D937" s="2"/>
      <c r="E937" s="2"/>
      <c r="F937" s="2"/>
    </row>
    <row r="938" spans="1:6" ht="12.75" customHeight="1" x14ac:dyDescent="0.25">
      <c r="A938" s="2"/>
      <c r="B938" s="2"/>
      <c r="C938" s="2"/>
      <c r="D938" s="2"/>
      <c r="E938" s="2"/>
      <c r="F938" s="2"/>
    </row>
    <row r="939" spans="1:6" ht="12.75" customHeight="1" x14ac:dyDescent="0.25">
      <c r="A939" s="2"/>
      <c r="B939" s="2"/>
      <c r="C939" s="2"/>
      <c r="D939" s="2"/>
      <c r="E939" s="2"/>
      <c r="F939" s="2"/>
    </row>
    <row r="940" spans="1:6" ht="12.75" customHeight="1" x14ac:dyDescent="0.25">
      <c r="A940" s="2"/>
      <c r="B940" s="2"/>
      <c r="C940" s="2"/>
      <c r="D940" s="2"/>
      <c r="E940" s="2"/>
      <c r="F940" s="2"/>
    </row>
    <row r="941" spans="1:6" ht="12.75" customHeight="1" x14ac:dyDescent="0.25">
      <c r="A941" s="2"/>
      <c r="B941" s="2"/>
      <c r="C941" s="2"/>
      <c r="D941" s="2"/>
      <c r="E941" s="2"/>
      <c r="F941" s="2"/>
    </row>
    <row r="942" spans="1:6" ht="12.75" customHeight="1" x14ac:dyDescent="0.25">
      <c r="A942" s="2"/>
      <c r="B942" s="2"/>
      <c r="C942" s="2"/>
      <c r="D942" s="2"/>
      <c r="E942" s="2"/>
      <c r="F942" s="2"/>
    </row>
    <row r="943" spans="1:6" ht="12.75" customHeight="1" x14ac:dyDescent="0.25">
      <c r="A943" s="2"/>
      <c r="B943" s="2"/>
      <c r="C943" s="2"/>
      <c r="D943" s="2"/>
      <c r="E943" s="2"/>
      <c r="F943" s="2"/>
    </row>
    <row r="944" spans="1:6" ht="12.75" customHeight="1" x14ac:dyDescent="0.25">
      <c r="A944" s="2"/>
      <c r="B944" s="2"/>
      <c r="C944" s="2"/>
      <c r="D944" s="2"/>
      <c r="E944" s="2"/>
      <c r="F944" s="2"/>
    </row>
    <row r="945" spans="1:6" ht="12.75" customHeight="1" x14ac:dyDescent="0.25">
      <c r="A945" s="2"/>
      <c r="B945" s="2"/>
      <c r="C945" s="2"/>
      <c r="D945" s="2"/>
      <c r="E945" s="2"/>
      <c r="F945" s="2"/>
    </row>
    <row r="946" spans="1:6" ht="12.75" customHeight="1" x14ac:dyDescent="0.25">
      <c r="A946" s="2"/>
      <c r="B946" s="2"/>
      <c r="C946" s="2"/>
      <c r="D946" s="2"/>
      <c r="E946" s="2"/>
      <c r="F946" s="2"/>
    </row>
    <row r="947" spans="1:6" ht="12.75" customHeight="1" x14ac:dyDescent="0.25">
      <c r="A947" s="2"/>
      <c r="B947" s="2"/>
      <c r="C947" s="2"/>
      <c r="D947" s="2"/>
      <c r="E947" s="2"/>
      <c r="F947" s="2"/>
    </row>
    <row r="948" spans="1:6" ht="12.75" customHeight="1" x14ac:dyDescent="0.25">
      <c r="A948" s="2"/>
      <c r="B948" s="2"/>
      <c r="C948" s="2"/>
      <c r="D948" s="2"/>
      <c r="E948" s="2"/>
      <c r="F948" s="2"/>
    </row>
    <row r="949" spans="1:6" ht="12.75" customHeight="1" x14ac:dyDescent="0.25">
      <c r="A949" s="2"/>
      <c r="B949" s="2"/>
      <c r="C949" s="2"/>
      <c r="D949" s="2"/>
      <c r="E949" s="2"/>
      <c r="F949" s="2"/>
    </row>
    <row r="950" spans="1:6" ht="12.75" customHeight="1" x14ac:dyDescent="0.25">
      <c r="A950" s="2"/>
      <c r="B950" s="2"/>
      <c r="C950" s="2"/>
      <c r="D950" s="2"/>
      <c r="E950" s="2"/>
      <c r="F950" s="2"/>
    </row>
    <row r="951" spans="1:6" ht="12.75" customHeight="1" x14ac:dyDescent="0.25">
      <c r="A951" s="2"/>
      <c r="B951" s="2"/>
      <c r="C951" s="2"/>
      <c r="D951" s="2"/>
      <c r="E951" s="2"/>
      <c r="F951" s="2"/>
    </row>
    <row r="952" spans="1:6" ht="12.75" customHeight="1" x14ac:dyDescent="0.25">
      <c r="A952" s="2"/>
      <c r="B952" s="2"/>
      <c r="C952" s="2"/>
      <c r="D952" s="2"/>
      <c r="E952" s="2"/>
      <c r="F952" s="2"/>
    </row>
    <row r="953" spans="1:6" ht="12.75" customHeight="1" x14ac:dyDescent="0.25">
      <c r="A953" s="2"/>
      <c r="B953" s="2"/>
      <c r="C953" s="2"/>
      <c r="D953" s="2"/>
      <c r="E953" s="2"/>
      <c r="F953" s="2"/>
    </row>
    <row r="954" spans="1:6" ht="12.75" customHeight="1" x14ac:dyDescent="0.25">
      <c r="A954" s="2"/>
      <c r="B954" s="2"/>
      <c r="C954" s="2"/>
      <c r="D954" s="2"/>
      <c r="E954" s="2"/>
      <c r="F954" s="2"/>
    </row>
    <row r="955" spans="1:6" ht="12.75" customHeight="1" x14ac:dyDescent="0.25">
      <c r="A955" s="2"/>
      <c r="B955" s="2"/>
      <c r="C955" s="2"/>
      <c r="D955" s="2"/>
      <c r="E955" s="2"/>
      <c r="F955" s="2"/>
    </row>
    <row r="956" spans="1:6" ht="12.75" customHeight="1" x14ac:dyDescent="0.25">
      <c r="A956" s="2"/>
      <c r="B956" s="2"/>
      <c r="C956" s="2"/>
      <c r="D956" s="2"/>
      <c r="E956" s="2"/>
      <c r="F956" s="2"/>
    </row>
    <row r="957" spans="1:6" ht="12.75" customHeight="1" x14ac:dyDescent="0.25">
      <c r="A957" s="2"/>
      <c r="B957" s="2"/>
      <c r="C957" s="2"/>
      <c r="D957" s="2"/>
      <c r="E957" s="2"/>
      <c r="F957" s="2"/>
    </row>
    <row r="958" spans="1:6" ht="12.75" customHeight="1" x14ac:dyDescent="0.25">
      <c r="A958" s="2"/>
      <c r="B958" s="2"/>
      <c r="C958" s="2"/>
      <c r="D958" s="2"/>
      <c r="E958" s="2"/>
      <c r="F958" s="2"/>
    </row>
    <row r="959" spans="1:6" ht="12.75" customHeight="1" x14ac:dyDescent="0.25">
      <c r="A959" s="2"/>
      <c r="B959" s="2"/>
      <c r="C959" s="2"/>
      <c r="D959" s="2"/>
      <c r="E959" s="2"/>
      <c r="F959" s="2"/>
    </row>
    <row r="960" spans="1:6" ht="12.75" customHeight="1" x14ac:dyDescent="0.25">
      <c r="A960" s="2"/>
      <c r="B960" s="2"/>
      <c r="C960" s="2"/>
      <c r="D960" s="2"/>
      <c r="E960" s="2"/>
      <c r="F960" s="2"/>
    </row>
    <row r="961" spans="1:6" ht="12.75" customHeight="1" x14ac:dyDescent="0.25">
      <c r="A961" s="2"/>
      <c r="B961" s="2"/>
      <c r="C961" s="2"/>
      <c r="D961" s="2"/>
      <c r="E961" s="2"/>
      <c r="F961" s="2"/>
    </row>
    <row r="962" spans="1:6" ht="12.75" customHeight="1" x14ac:dyDescent="0.25">
      <c r="A962" s="2"/>
      <c r="B962" s="2"/>
      <c r="C962" s="2"/>
      <c r="D962" s="2"/>
      <c r="E962" s="2"/>
      <c r="F962" s="2"/>
    </row>
    <row r="963" spans="1:6" ht="12.75" customHeight="1" x14ac:dyDescent="0.25">
      <c r="A963" s="2"/>
      <c r="B963" s="2"/>
      <c r="C963" s="2"/>
      <c r="D963" s="2"/>
      <c r="E963" s="2"/>
      <c r="F963" s="2"/>
    </row>
    <row r="964" spans="1:6" ht="12.75" customHeight="1" x14ac:dyDescent="0.25">
      <c r="A964" s="2"/>
      <c r="B964" s="2"/>
      <c r="C964" s="2"/>
      <c r="D964" s="2"/>
      <c r="E964" s="2"/>
      <c r="F964" s="2"/>
    </row>
    <row r="965" spans="1:6" ht="12.75" customHeight="1" x14ac:dyDescent="0.25">
      <c r="A965" s="2"/>
      <c r="B965" s="2"/>
      <c r="C965" s="2"/>
      <c r="D965" s="2"/>
      <c r="E965" s="2"/>
      <c r="F965" s="2"/>
    </row>
    <row r="966" spans="1:6" ht="12.75" customHeight="1" x14ac:dyDescent="0.25">
      <c r="A966" s="2"/>
      <c r="B966" s="2"/>
      <c r="C966" s="2"/>
      <c r="D966" s="2"/>
      <c r="E966" s="2"/>
      <c r="F966" s="2"/>
    </row>
    <row r="967" spans="1:6" ht="12.75" customHeight="1" x14ac:dyDescent="0.25">
      <c r="A967" s="2"/>
      <c r="B967" s="2"/>
      <c r="C967" s="2"/>
      <c r="D967" s="2"/>
      <c r="E967" s="2"/>
      <c r="F967" s="2"/>
    </row>
    <row r="968" spans="1:6" ht="12.75" customHeight="1" x14ac:dyDescent="0.25">
      <c r="A968" s="2"/>
      <c r="B968" s="2"/>
      <c r="C968" s="2"/>
      <c r="D968" s="2"/>
      <c r="E968" s="2"/>
      <c r="F968" s="2"/>
    </row>
    <row r="969" spans="1:6" ht="12.75" customHeight="1" x14ac:dyDescent="0.25">
      <c r="A969" s="2"/>
      <c r="B969" s="2"/>
      <c r="C969" s="2"/>
      <c r="D969" s="2"/>
      <c r="E969" s="2"/>
      <c r="F969" s="2"/>
    </row>
    <row r="970" spans="1:6" ht="12.75" customHeight="1" x14ac:dyDescent="0.25">
      <c r="A970" s="2"/>
      <c r="B970" s="2"/>
      <c r="C970" s="2"/>
      <c r="D970" s="2"/>
      <c r="E970" s="2"/>
      <c r="F970" s="2"/>
    </row>
    <row r="971" spans="1:6" ht="12.75" customHeight="1" x14ac:dyDescent="0.25">
      <c r="A971" s="2"/>
      <c r="B971" s="2"/>
      <c r="C971" s="2"/>
      <c r="D971" s="2"/>
      <c r="E971" s="2"/>
      <c r="F971" s="2"/>
    </row>
    <row r="972" spans="1:6" ht="12.75" customHeight="1" x14ac:dyDescent="0.25">
      <c r="A972" s="2"/>
      <c r="B972" s="2"/>
      <c r="C972" s="2"/>
      <c r="D972" s="2"/>
      <c r="E972" s="2"/>
      <c r="F972" s="2"/>
    </row>
    <row r="973" spans="1:6" ht="12.75" customHeight="1" x14ac:dyDescent="0.25">
      <c r="A973" s="2"/>
      <c r="B973" s="2"/>
      <c r="C973" s="2"/>
      <c r="D973" s="2"/>
      <c r="E973" s="2"/>
      <c r="F973" s="2"/>
    </row>
    <row r="974" spans="1:6" ht="12.75" customHeight="1" x14ac:dyDescent="0.25">
      <c r="A974" s="2"/>
      <c r="B974" s="2"/>
      <c r="C974" s="2"/>
      <c r="D974" s="2"/>
      <c r="E974" s="2"/>
      <c r="F974" s="2"/>
    </row>
    <row r="975" spans="1:6" ht="12.75" customHeight="1" x14ac:dyDescent="0.25">
      <c r="A975" s="2"/>
      <c r="B975" s="2"/>
      <c r="C975" s="2"/>
      <c r="D975" s="2"/>
      <c r="E975" s="2"/>
      <c r="F975" s="2"/>
    </row>
    <row r="976" spans="1:6" ht="12.75" customHeight="1" x14ac:dyDescent="0.25">
      <c r="A976" s="2"/>
      <c r="B976" s="2"/>
      <c r="C976" s="2"/>
      <c r="D976" s="2"/>
      <c r="E976" s="2"/>
      <c r="F976" s="2"/>
    </row>
    <row r="977" spans="1:6" ht="12.75" customHeight="1" x14ac:dyDescent="0.25">
      <c r="A977" s="2"/>
      <c r="B977" s="2"/>
      <c r="C977" s="2"/>
      <c r="D977" s="2"/>
      <c r="E977" s="2"/>
      <c r="F977" s="2"/>
    </row>
    <row r="978" spans="1:6" ht="12.75" customHeight="1" x14ac:dyDescent="0.25">
      <c r="A978" s="2"/>
      <c r="B978" s="2"/>
      <c r="C978" s="2"/>
      <c r="D978" s="2"/>
      <c r="E978" s="2"/>
      <c r="F978" s="2"/>
    </row>
    <row r="979" spans="1:6" ht="12.75" customHeight="1" x14ac:dyDescent="0.25">
      <c r="A979" s="2"/>
      <c r="B979" s="2"/>
      <c r="C979" s="2"/>
      <c r="D979" s="2"/>
      <c r="E979" s="2"/>
      <c r="F979" s="2"/>
    </row>
    <row r="980" spans="1:6" ht="12.75" customHeight="1" x14ac:dyDescent="0.25">
      <c r="A980" s="2"/>
      <c r="B980" s="2"/>
      <c r="C980" s="2"/>
      <c r="D980" s="2"/>
      <c r="E980" s="2"/>
      <c r="F980" s="2"/>
    </row>
    <row r="981" spans="1:6" ht="12.75" customHeight="1" x14ac:dyDescent="0.25">
      <c r="A981" s="2"/>
      <c r="B981" s="2"/>
      <c r="C981" s="2"/>
      <c r="D981" s="2"/>
      <c r="E981" s="2"/>
      <c r="F981" s="2"/>
    </row>
    <row r="982" spans="1:6" ht="12.75" customHeight="1" x14ac:dyDescent="0.25">
      <c r="A982" s="2"/>
      <c r="B982" s="2"/>
      <c r="C982" s="2"/>
      <c r="D982" s="2"/>
      <c r="E982" s="2"/>
      <c r="F982" s="2"/>
    </row>
    <row r="983" spans="1:6" ht="12.75" customHeight="1" x14ac:dyDescent="0.25">
      <c r="A983" s="2"/>
      <c r="B983" s="2"/>
      <c r="C983" s="2"/>
      <c r="D983" s="2"/>
      <c r="E983" s="2"/>
      <c r="F983" s="2"/>
    </row>
    <row r="984" spans="1:6" ht="12.75" customHeight="1" x14ac:dyDescent="0.25">
      <c r="A984" s="2"/>
      <c r="B984" s="2"/>
      <c r="C984" s="2"/>
      <c r="D984" s="2"/>
      <c r="E984" s="2"/>
      <c r="F984" s="2"/>
    </row>
    <row r="985" spans="1:6" ht="12.75" customHeight="1" x14ac:dyDescent="0.25">
      <c r="A985" s="2"/>
      <c r="B985" s="2"/>
      <c r="C985" s="2"/>
      <c r="D985" s="2"/>
      <c r="E985" s="2"/>
      <c r="F985" s="2"/>
    </row>
    <row r="986" spans="1:6" ht="12.75" customHeight="1" x14ac:dyDescent="0.25">
      <c r="A986" s="2"/>
      <c r="B986" s="2"/>
      <c r="C986" s="2"/>
      <c r="D986" s="2"/>
      <c r="E986" s="2"/>
      <c r="F986" s="2"/>
    </row>
    <row r="987" spans="1:6" ht="12.75" customHeight="1" x14ac:dyDescent="0.25">
      <c r="A987" s="2"/>
      <c r="B987" s="2"/>
      <c r="C987" s="2"/>
      <c r="D987" s="2"/>
      <c r="E987" s="2"/>
      <c r="F987" s="2"/>
    </row>
    <row r="988" spans="1:6" ht="12.75" customHeight="1" x14ac:dyDescent="0.25">
      <c r="A988" s="2"/>
      <c r="B988" s="2"/>
      <c r="C988" s="2"/>
      <c r="D988" s="2"/>
      <c r="E988" s="2"/>
      <c r="F988" s="2"/>
    </row>
    <row r="989" spans="1:6" ht="12.75" customHeight="1" x14ac:dyDescent="0.25">
      <c r="A989" s="2"/>
      <c r="B989" s="2"/>
      <c r="C989" s="2"/>
      <c r="D989" s="2"/>
      <c r="E989" s="2"/>
      <c r="F989" s="2"/>
    </row>
    <row r="990" spans="1:6" ht="12.75" customHeight="1" x14ac:dyDescent="0.25">
      <c r="A990" s="2"/>
      <c r="B990" s="2"/>
      <c r="C990" s="2"/>
      <c r="D990" s="2"/>
      <c r="E990" s="2"/>
      <c r="F990" s="2"/>
    </row>
    <row r="991" spans="1:6" ht="12.75" customHeight="1" x14ac:dyDescent="0.25">
      <c r="A991" s="2"/>
      <c r="B991" s="2"/>
      <c r="C991" s="2"/>
      <c r="D991" s="2"/>
      <c r="E991" s="2"/>
      <c r="F991" s="2"/>
    </row>
    <row r="992" spans="1:6" ht="12.75" customHeight="1" x14ac:dyDescent="0.25">
      <c r="A992" s="2"/>
      <c r="B992" s="2"/>
      <c r="C992" s="2"/>
      <c r="D992" s="2"/>
      <c r="E992" s="2"/>
      <c r="F992" s="2"/>
    </row>
    <row r="993" spans="1:6" ht="12.75" customHeight="1" x14ac:dyDescent="0.25">
      <c r="A993" s="2"/>
      <c r="B993" s="2"/>
      <c r="C993" s="2"/>
      <c r="D993" s="2"/>
      <c r="E993" s="2"/>
      <c r="F993" s="2"/>
    </row>
    <row r="994" spans="1:6" ht="12.75" customHeight="1" x14ac:dyDescent="0.25">
      <c r="A994" s="2"/>
      <c r="B994" s="2"/>
      <c r="C994" s="2"/>
      <c r="D994" s="2"/>
      <c r="E994" s="2"/>
      <c r="F994" s="2"/>
    </row>
    <row r="995" spans="1:6" ht="12.75" customHeight="1" x14ac:dyDescent="0.25">
      <c r="A995" s="2"/>
      <c r="B995" s="2"/>
      <c r="C995" s="2"/>
      <c r="D995" s="2"/>
      <c r="E995" s="2"/>
      <c r="F995" s="2"/>
    </row>
    <row r="996" spans="1:6" ht="12.75" customHeight="1" x14ac:dyDescent="0.25">
      <c r="A996" s="2"/>
      <c r="B996" s="2"/>
      <c r="C996" s="2"/>
      <c r="D996" s="2"/>
      <c r="E996" s="2"/>
      <c r="F996" s="2"/>
    </row>
    <row r="997" spans="1:6" ht="12.75" customHeight="1" x14ac:dyDescent="0.25">
      <c r="A997" s="2"/>
      <c r="B997" s="2"/>
      <c r="C997" s="2"/>
      <c r="D997" s="2"/>
      <c r="E997" s="2"/>
      <c r="F997" s="2"/>
    </row>
    <row r="998" spans="1:6" ht="12.75" customHeight="1" x14ac:dyDescent="0.25">
      <c r="A998" s="2"/>
      <c r="B998" s="2"/>
      <c r="C998" s="2"/>
      <c r="D998" s="2"/>
      <c r="E998" s="2"/>
      <c r="F998" s="2"/>
    </row>
    <row r="999" spans="1:6" ht="12.75" customHeight="1" x14ac:dyDescent="0.25">
      <c r="A999" s="2"/>
      <c r="B999" s="2"/>
      <c r="C999" s="2"/>
      <c r="D999" s="2"/>
      <c r="E999" s="2"/>
      <c r="F999" s="2"/>
    </row>
    <row r="1000" spans="1:6" ht="12.75" customHeight="1" x14ac:dyDescent="0.25">
      <c r="A1000" s="2"/>
      <c r="B1000" s="2"/>
      <c r="C1000" s="2"/>
      <c r="D1000" s="2"/>
      <c r="E1000" s="2"/>
      <c r="F1000" s="2"/>
    </row>
  </sheetData>
  <pageMargins left="0.75" right="0.75" top="1" bottom="1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00"/>
  <sheetViews>
    <sheetView topLeftCell="A9" workbookViewId="0">
      <selection activeCell="N9" sqref="N9"/>
    </sheetView>
  </sheetViews>
  <sheetFormatPr defaultColWidth="12.6640625" defaultRowHeight="15" customHeight="1" x14ac:dyDescent="0.25"/>
  <cols>
    <col min="1" max="6" width="8.44140625" customWidth="1"/>
  </cols>
  <sheetData>
    <row r="1" spans="1:6" ht="12.75" customHeight="1" x14ac:dyDescent="0.25">
      <c r="A1" s="2"/>
      <c r="B1" s="2"/>
      <c r="C1" s="2"/>
      <c r="D1" s="2"/>
      <c r="E1" s="2"/>
      <c r="F1" s="2"/>
    </row>
    <row r="2" spans="1:6" ht="12.75" customHeight="1" x14ac:dyDescent="0.25">
      <c r="A2" s="2"/>
      <c r="B2" s="2"/>
      <c r="C2" s="2"/>
      <c r="D2" s="2"/>
      <c r="E2" s="2"/>
      <c r="F2" s="2"/>
    </row>
    <row r="3" spans="1:6" ht="12.75" customHeight="1" x14ac:dyDescent="0.25">
      <c r="A3" s="2"/>
      <c r="B3" s="2"/>
      <c r="C3" s="2"/>
      <c r="D3" s="2"/>
      <c r="E3" s="2"/>
      <c r="F3" s="2"/>
    </row>
    <row r="4" spans="1:6" ht="12.75" customHeight="1" x14ac:dyDescent="0.25">
      <c r="A4" s="2"/>
      <c r="B4" s="2"/>
      <c r="C4" s="2"/>
      <c r="D4" s="2"/>
      <c r="E4" s="2"/>
      <c r="F4" s="2"/>
    </row>
    <row r="5" spans="1:6" ht="12.75" customHeight="1" x14ac:dyDescent="0.25">
      <c r="A5" s="2"/>
      <c r="B5" s="2"/>
      <c r="C5" s="2"/>
      <c r="D5" s="2"/>
      <c r="E5" s="2"/>
      <c r="F5" s="2"/>
    </row>
    <row r="6" spans="1:6" ht="12.75" customHeight="1" x14ac:dyDescent="0.25">
      <c r="A6" s="2"/>
      <c r="B6" s="2"/>
      <c r="C6" s="2"/>
      <c r="D6" s="2"/>
      <c r="E6" s="2"/>
      <c r="F6" s="2"/>
    </row>
    <row r="7" spans="1:6" ht="12.75" customHeight="1" x14ac:dyDescent="0.25">
      <c r="A7" s="2"/>
      <c r="B7" s="2"/>
      <c r="C7" s="2"/>
      <c r="D7" s="2"/>
      <c r="E7" s="2"/>
      <c r="F7" s="2"/>
    </row>
    <row r="8" spans="1:6" ht="12.75" customHeight="1" x14ac:dyDescent="0.25">
      <c r="A8" s="2"/>
      <c r="B8" s="2"/>
      <c r="C8" s="2"/>
      <c r="D8" s="2"/>
      <c r="E8" s="2"/>
      <c r="F8" s="2"/>
    </row>
    <row r="9" spans="1:6" ht="12.75" customHeight="1" x14ac:dyDescent="0.25">
      <c r="A9" s="2"/>
      <c r="B9" s="2"/>
      <c r="C9" s="2"/>
      <c r="D9" s="2"/>
      <c r="E9" s="2"/>
      <c r="F9" s="2"/>
    </row>
    <row r="10" spans="1:6" ht="12.75" customHeight="1" x14ac:dyDescent="0.25">
      <c r="A10" s="2"/>
      <c r="B10" s="2"/>
      <c r="C10" s="2"/>
      <c r="D10" s="2"/>
      <c r="E10" s="2"/>
      <c r="F10" s="2"/>
    </row>
    <row r="11" spans="1:6" ht="12.75" customHeight="1" x14ac:dyDescent="0.25">
      <c r="A11" s="2"/>
      <c r="B11" s="2"/>
      <c r="C11" s="2"/>
      <c r="D11" s="2"/>
      <c r="E11" s="2"/>
      <c r="F11" s="2"/>
    </row>
    <row r="12" spans="1:6" ht="12.75" customHeight="1" x14ac:dyDescent="0.25">
      <c r="A12" s="2"/>
      <c r="B12" s="2"/>
      <c r="C12" s="2"/>
      <c r="D12" s="2"/>
      <c r="E12" s="2"/>
      <c r="F12" s="2"/>
    </row>
    <row r="13" spans="1:6" ht="12.75" customHeight="1" x14ac:dyDescent="0.25">
      <c r="A13" s="2"/>
      <c r="B13" s="2"/>
      <c r="C13" s="2"/>
      <c r="D13" s="2"/>
      <c r="E13" s="2"/>
      <c r="F13" s="2"/>
    </row>
    <row r="14" spans="1:6" ht="12.75" customHeight="1" x14ac:dyDescent="0.25">
      <c r="A14" s="2"/>
      <c r="B14" s="2"/>
      <c r="C14" s="2"/>
      <c r="D14" s="2"/>
      <c r="E14" s="2"/>
      <c r="F14" s="2"/>
    </row>
    <row r="15" spans="1:6" ht="12.75" customHeight="1" x14ac:dyDescent="0.25">
      <c r="A15" s="2"/>
      <c r="B15" s="2"/>
      <c r="C15" s="2"/>
      <c r="D15" s="2"/>
      <c r="E15" s="2"/>
      <c r="F15" s="2"/>
    </row>
    <row r="16" spans="1:6" ht="12.75" customHeight="1" x14ac:dyDescent="0.25">
      <c r="A16" s="2"/>
      <c r="B16" s="2"/>
      <c r="C16" s="2"/>
      <c r="D16" s="2"/>
      <c r="E16" s="2"/>
      <c r="F16" s="2"/>
    </row>
    <row r="17" spans="1:6" ht="12.75" customHeight="1" x14ac:dyDescent="0.25">
      <c r="A17" s="2"/>
      <c r="B17" s="2"/>
      <c r="C17" s="2"/>
      <c r="D17" s="2"/>
      <c r="E17" s="2"/>
      <c r="F17" s="2"/>
    </row>
    <row r="18" spans="1:6" ht="12.75" customHeight="1" x14ac:dyDescent="0.25">
      <c r="A18" s="2"/>
      <c r="B18" s="2"/>
      <c r="C18" s="2"/>
      <c r="D18" s="2"/>
      <c r="E18" s="2"/>
      <c r="F18" s="2"/>
    </row>
    <row r="19" spans="1:6" ht="12.75" customHeight="1" x14ac:dyDescent="0.25">
      <c r="A19" s="2"/>
      <c r="B19" s="2"/>
      <c r="C19" s="2"/>
      <c r="D19" s="2"/>
      <c r="E19" s="2"/>
      <c r="F19" s="2"/>
    </row>
    <row r="20" spans="1:6" ht="12.75" customHeight="1" x14ac:dyDescent="0.25">
      <c r="A20" s="2"/>
      <c r="B20" s="2"/>
      <c r="C20" s="2"/>
      <c r="D20" s="2"/>
      <c r="E20" s="2"/>
      <c r="F20" s="2"/>
    </row>
    <row r="21" spans="1:6" ht="12.75" customHeight="1" x14ac:dyDescent="0.25">
      <c r="A21" s="2"/>
      <c r="B21" s="2"/>
      <c r="C21" s="2"/>
      <c r="D21" s="2"/>
      <c r="E21" s="2"/>
      <c r="F21" s="2"/>
    </row>
    <row r="22" spans="1:6" ht="12.75" customHeight="1" x14ac:dyDescent="0.25">
      <c r="A22" s="2"/>
      <c r="B22" s="2"/>
      <c r="C22" s="2"/>
      <c r="D22" s="2"/>
      <c r="E22" s="2"/>
      <c r="F22" s="2"/>
    </row>
    <row r="23" spans="1:6" ht="12.75" customHeight="1" x14ac:dyDescent="0.25">
      <c r="A23" s="2"/>
      <c r="B23" s="2"/>
      <c r="C23" s="2"/>
      <c r="D23" s="2"/>
      <c r="E23" s="2"/>
      <c r="F23" s="2"/>
    </row>
    <row r="24" spans="1:6" ht="12.75" customHeight="1" x14ac:dyDescent="0.25">
      <c r="A24" s="2"/>
      <c r="B24" s="2"/>
      <c r="C24" s="2"/>
      <c r="D24" s="2"/>
      <c r="E24" s="2"/>
      <c r="F24" s="2"/>
    </row>
    <row r="25" spans="1:6" ht="12.75" customHeight="1" x14ac:dyDescent="0.25">
      <c r="A25" s="2"/>
      <c r="B25" s="2"/>
      <c r="C25" s="2"/>
      <c r="D25" s="2"/>
      <c r="E25" s="2"/>
      <c r="F25" s="2"/>
    </row>
    <row r="26" spans="1:6" ht="12.75" customHeight="1" x14ac:dyDescent="0.25">
      <c r="A26" s="2"/>
      <c r="B26" s="2"/>
      <c r="C26" s="2"/>
      <c r="D26" s="2"/>
      <c r="E26" s="2"/>
      <c r="F26" s="2"/>
    </row>
    <row r="27" spans="1:6" ht="12.75" customHeight="1" x14ac:dyDescent="0.25">
      <c r="A27" s="2"/>
      <c r="B27" s="2"/>
      <c r="C27" s="2"/>
      <c r="D27" s="2"/>
      <c r="E27" s="2"/>
      <c r="F27" s="2"/>
    </row>
    <row r="28" spans="1:6" ht="12.75" customHeight="1" x14ac:dyDescent="0.25">
      <c r="A28" s="2"/>
      <c r="B28" s="2"/>
      <c r="C28" s="2"/>
      <c r="D28" s="2"/>
      <c r="E28" s="2"/>
      <c r="F28" s="2"/>
    </row>
    <row r="29" spans="1:6" ht="12.75" customHeight="1" x14ac:dyDescent="0.25">
      <c r="A29" s="2"/>
      <c r="B29" s="2"/>
      <c r="C29" s="2"/>
      <c r="D29" s="2"/>
      <c r="E29" s="2"/>
      <c r="F29" s="2"/>
    </row>
    <row r="30" spans="1:6" ht="12.75" customHeight="1" x14ac:dyDescent="0.25">
      <c r="A30" s="2"/>
      <c r="B30" s="2"/>
      <c r="C30" s="2"/>
      <c r="D30" s="2"/>
      <c r="E30" s="2"/>
      <c r="F30" s="2"/>
    </row>
    <row r="31" spans="1:6" ht="12.75" customHeight="1" x14ac:dyDescent="0.25">
      <c r="A31" s="2"/>
      <c r="B31" s="2"/>
      <c r="C31" s="2"/>
      <c r="D31" s="2"/>
      <c r="E31" s="2"/>
      <c r="F31" s="2"/>
    </row>
    <row r="32" spans="1:6" ht="12.75" customHeight="1" x14ac:dyDescent="0.25">
      <c r="A32" s="2"/>
      <c r="B32" s="2"/>
      <c r="C32" s="2"/>
      <c r="D32" s="2"/>
      <c r="E32" s="2"/>
      <c r="F32" s="2"/>
    </row>
    <row r="33" spans="1:6" ht="12.75" customHeight="1" x14ac:dyDescent="0.25">
      <c r="A33" s="2"/>
      <c r="B33" s="2"/>
      <c r="C33" s="2"/>
      <c r="D33" s="2"/>
      <c r="E33" s="2"/>
      <c r="F33" s="2"/>
    </row>
    <row r="34" spans="1:6" ht="12.75" customHeight="1" x14ac:dyDescent="0.25">
      <c r="A34" s="2"/>
      <c r="B34" s="2"/>
      <c r="C34" s="2"/>
      <c r="D34" s="2"/>
      <c r="E34" s="2"/>
      <c r="F34" s="2"/>
    </row>
    <row r="35" spans="1:6" ht="12.75" customHeight="1" x14ac:dyDescent="0.25">
      <c r="A35" s="2"/>
      <c r="B35" s="2"/>
      <c r="C35" s="2"/>
      <c r="D35" s="2"/>
      <c r="E35" s="2"/>
      <c r="F35" s="2"/>
    </row>
    <row r="36" spans="1:6" ht="12.75" customHeight="1" x14ac:dyDescent="0.25">
      <c r="A36" s="2"/>
      <c r="B36" s="2"/>
      <c r="C36" s="2"/>
      <c r="D36" s="2"/>
      <c r="E36" s="2"/>
      <c r="F36" s="2"/>
    </row>
    <row r="37" spans="1:6" ht="12.75" customHeight="1" x14ac:dyDescent="0.25">
      <c r="A37" s="2"/>
      <c r="B37" s="2"/>
      <c r="C37" s="2"/>
      <c r="D37" s="2"/>
      <c r="E37" s="2"/>
      <c r="F37" s="2"/>
    </row>
    <row r="38" spans="1:6" ht="12.75" customHeight="1" x14ac:dyDescent="0.25">
      <c r="A38" s="2"/>
      <c r="B38" s="2"/>
      <c r="C38" s="2"/>
      <c r="D38" s="2"/>
      <c r="E38" s="2"/>
      <c r="F38" s="2"/>
    </row>
    <row r="39" spans="1:6" ht="12.75" customHeight="1" x14ac:dyDescent="0.25">
      <c r="A39" s="2"/>
      <c r="B39" s="2"/>
      <c r="C39" s="2"/>
      <c r="D39" s="2"/>
      <c r="E39" s="2"/>
      <c r="F39" s="2"/>
    </row>
    <row r="40" spans="1:6" ht="12.75" customHeight="1" x14ac:dyDescent="0.25">
      <c r="A40" s="2"/>
      <c r="B40" s="2"/>
      <c r="C40" s="2"/>
      <c r="D40" s="2"/>
      <c r="E40" s="2"/>
      <c r="F40" s="2"/>
    </row>
    <row r="41" spans="1:6" ht="12.75" customHeight="1" x14ac:dyDescent="0.25">
      <c r="A41" s="2"/>
      <c r="B41" s="2"/>
      <c r="C41" s="2"/>
      <c r="D41" s="2"/>
      <c r="E41" s="2"/>
      <c r="F41" s="2"/>
    </row>
    <row r="42" spans="1:6" ht="12.75" customHeight="1" x14ac:dyDescent="0.25">
      <c r="A42" s="2"/>
      <c r="B42" s="2"/>
      <c r="C42" s="2"/>
      <c r="D42" s="2"/>
      <c r="E42" s="2"/>
      <c r="F42" s="2"/>
    </row>
    <row r="43" spans="1:6" ht="12.75" customHeight="1" x14ac:dyDescent="0.25">
      <c r="A43" s="2"/>
      <c r="B43" s="2"/>
      <c r="C43" s="2"/>
      <c r="D43" s="2"/>
      <c r="E43" s="2"/>
      <c r="F43" s="2"/>
    </row>
    <row r="44" spans="1:6" ht="12.75" customHeight="1" x14ac:dyDescent="0.25">
      <c r="A44" s="2"/>
      <c r="B44" s="2"/>
      <c r="C44" s="2"/>
      <c r="D44" s="2"/>
      <c r="E44" s="2"/>
      <c r="F44" s="2"/>
    </row>
    <row r="45" spans="1:6" ht="12.75" customHeight="1" x14ac:dyDescent="0.25">
      <c r="A45" s="2"/>
      <c r="B45" s="2"/>
      <c r="C45" s="2"/>
      <c r="D45" s="2"/>
      <c r="E45" s="2"/>
      <c r="F45" s="2"/>
    </row>
    <row r="46" spans="1:6" ht="12.75" customHeight="1" x14ac:dyDescent="0.25">
      <c r="A46" s="2"/>
      <c r="B46" s="2"/>
      <c r="C46" s="2"/>
      <c r="D46" s="2"/>
      <c r="E46" s="2"/>
      <c r="F46" s="2"/>
    </row>
    <row r="47" spans="1:6" ht="12.75" customHeight="1" x14ac:dyDescent="0.25">
      <c r="A47" s="2"/>
      <c r="B47" s="2"/>
      <c r="C47" s="2"/>
      <c r="D47" s="2"/>
      <c r="E47" s="2"/>
      <c r="F47" s="2"/>
    </row>
    <row r="48" spans="1:6" ht="12.75" customHeight="1" x14ac:dyDescent="0.25">
      <c r="A48" s="2"/>
      <c r="B48" s="2"/>
      <c r="C48" s="2"/>
      <c r="D48" s="2"/>
      <c r="E48" s="2"/>
      <c r="F48" s="2"/>
    </row>
    <row r="49" spans="1:6" ht="12.75" customHeight="1" x14ac:dyDescent="0.25">
      <c r="A49" s="2"/>
      <c r="B49" s="2"/>
      <c r="C49" s="2"/>
      <c r="D49" s="2"/>
      <c r="E49" s="2"/>
      <c r="F49" s="2"/>
    </row>
    <row r="50" spans="1:6" ht="12.75" customHeight="1" x14ac:dyDescent="0.25">
      <c r="A50" s="2"/>
      <c r="B50" s="2"/>
      <c r="C50" s="2"/>
      <c r="D50" s="2"/>
      <c r="E50" s="2"/>
      <c r="F50" s="2"/>
    </row>
    <row r="51" spans="1:6" ht="12.75" customHeight="1" x14ac:dyDescent="0.25">
      <c r="A51" s="2"/>
      <c r="B51" s="2"/>
      <c r="C51" s="2"/>
      <c r="D51" s="2"/>
      <c r="E51" s="2"/>
      <c r="F51" s="2"/>
    </row>
    <row r="52" spans="1:6" ht="12.75" customHeight="1" x14ac:dyDescent="0.25">
      <c r="A52" s="2"/>
      <c r="B52" s="2"/>
      <c r="C52" s="2"/>
      <c r="D52" s="2"/>
      <c r="E52" s="2"/>
      <c r="F52" s="2"/>
    </row>
    <row r="53" spans="1:6" ht="12.75" customHeight="1" x14ac:dyDescent="0.25">
      <c r="A53" s="2"/>
      <c r="B53" s="2"/>
      <c r="C53" s="2"/>
      <c r="D53" s="2"/>
      <c r="E53" s="2"/>
      <c r="F53" s="2"/>
    </row>
    <row r="54" spans="1:6" ht="12.75" customHeight="1" x14ac:dyDescent="0.25">
      <c r="A54" s="2"/>
      <c r="B54" s="2"/>
      <c r="C54" s="2"/>
      <c r="D54" s="2"/>
      <c r="E54" s="2"/>
      <c r="F54" s="2"/>
    </row>
    <row r="55" spans="1:6" ht="12.75" customHeight="1" x14ac:dyDescent="0.25">
      <c r="A55" s="2"/>
      <c r="B55" s="2"/>
      <c r="C55" s="2"/>
      <c r="D55" s="2"/>
      <c r="E55" s="2"/>
      <c r="F55" s="2"/>
    </row>
    <row r="56" spans="1:6" ht="12.75" customHeight="1" x14ac:dyDescent="0.25">
      <c r="A56" s="2"/>
      <c r="B56" s="2"/>
      <c r="C56" s="2"/>
      <c r="D56" s="2"/>
      <c r="E56" s="2"/>
      <c r="F56" s="2"/>
    </row>
    <row r="57" spans="1:6" ht="12.75" customHeight="1" x14ac:dyDescent="0.25">
      <c r="A57" s="2"/>
      <c r="B57" s="2"/>
      <c r="C57" s="2"/>
      <c r="D57" s="2"/>
      <c r="E57" s="2"/>
      <c r="F57" s="2"/>
    </row>
    <row r="58" spans="1:6" ht="12.75" customHeight="1" x14ac:dyDescent="0.25">
      <c r="A58" s="2"/>
      <c r="B58" s="2"/>
      <c r="C58" s="2"/>
      <c r="D58" s="2"/>
      <c r="E58" s="2"/>
      <c r="F58" s="2"/>
    </row>
    <row r="59" spans="1:6" ht="12.75" customHeight="1" x14ac:dyDescent="0.25">
      <c r="A59" s="2"/>
      <c r="B59" s="2"/>
      <c r="C59" s="2"/>
      <c r="D59" s="2"/>
      <c r="E59" s="2"/>
      <c r="F59" s="2"/>
    </row>
    <row r="60" spans="1:6" ht="12.75" customHeight="1" x14ac:dyDescent="0.25">
      <c r="A60" s="2"/>
      <c r="B60" s="2"/>
      <c r="C60" s="2"/>
      <c r="D60" s="2"/>
      <c r="E60" s="2"/>
      <c r="F60" s="2"/>
    </row>
    <row r="61" spans="1:6" ht="12.75" customHeight="1" x14ac:dyDescent="0.25">
      <c r="A61" s="2"/>
      <c r="B61" s="2"/>
      <c r="C61" s="2"/>
      <c r="D61" s="2"/>
      <c r="E61" s="2"/>
      <c r="F61" s="2"/>
    </row>
    <row r="62" spans="1:6" ht="12.75" customHeight="1" x14ac:dyDescent="0.25">
      <c r="A62" s="2"/>
      <c r="B62" s="2"/>
      <c r="C62" s="2"/>
      <c r="D62" s="2"/>
      <c r="E62" s="2"/>
      <c r="F62" s="2"/>
    </row>
    <row r="63" spans="1:6" ht="12.75" customHeight="1" x14ac:dyDescent="0.25">
      <c r="A63" s="2"/>
      <c r="B63" s="2"/>
      <c r="C63" s="2"/>
      <c r="D63" s="2"/>
      <c r="E63" s="2"/>
      <c r="F63" s="2"/>
    </row>
    <row r="64" spans="1:6" ht="12.75" customHeight="1" x14ac:dyDescent="0.25">
      <c r="A64" s="2"/>
      <c r="B64" s="2"/>
      <c r="C64" s="2"/>
      <c r="D64" s="2"/>
      <c r="E64" s="2"/>
      <c r="F64" s="2"/>
    </row>
    <row r="65" spans="1:6" ht="12.75" customHeight="1" x14ac:dyDescent="0.25">
      <c r="A65" s="2"/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2"/>
      <c r="D66" s="2"/>
      <c r="E66" s="2"/>
      <c r="F66" s="2"/>
    </row>
    <row r="67" spans="1:6" ht="12.75" customHeight="1" x14ac:dyDescent="0.25">
      <c r="A67" s="2"/>
      <c r="B67" s="2"/>
      <c r="C67" s="2"/>
      <c r="D67" s="2"/>
      <c r="E67" s="2"/>
      <c r="F67" s="2"/>
    </row>
    <row r="68" spans="1:6" ht="12.75" customHeight="1" x14ac:dyDescent="0.25">
      <c r="A68" s="2"/>
      <c r="B68" s="2"/>
      <c r="C68" s="2"/>
      <c r="D68" s="2"/>
      <c r="E68" s="2"/>
      <c r="F68" s="2"/>
    </row>
    <row r="69" spans="1:6" ht="12.75" customHeight="1" x14ac:dyDescent="0.25">
      <c r="A69" s="2"/>
      <c r="B69" s="2"/>
      <c r="C69" s="2"/>
      <c r="D69" s="2"/>
      <c r="E69" s="2"/>
      <c r="F69" s="2"/>
    </row>
    <row r="70" spans="1:6" ht="12.75" customHeight="1" x14ac:dyDescent="0.25">
      <c r="A70" s="2"/>
      <c r="B70" s="2"/>
      <c r="C70" s="2"/>
      <c r="D70" s="2"/>
      <c r="E70" s="2"/>
      <c r="F70" s="2"/>
    </row>
    <row r="71" spans="1:6" ht="12.75" customHeight="1" x14ac:dyDescent="0.25">
      <c r="A71" s="2"/>
      <c r="B71" s="2"/>
      <c r="C71" s="2"/>
      <c r="D71" s="2"/>
      <c r="E71" s="2"/>
      <c r="F71" s="2"/>
    </row>
    <row r="72" spans="1:6" ht="12.75" customHeight="1" x14ac:dyDescent="0.25">
      <c r="A72" s="2"/>
      <c r="B72" s="2"/>
      <c r="C72" s="2"/>
      <c r="D72" s="2"/>
      <c r="E72" s="2"/>
      <c r="F72" s="2"/>
    </row>
    <row r="73" spans="1:6" ht="12.75" customHeight="1" x14ac:dyDescent="0.25">
      <c r="A73" s="2"/>
      <c r="B73" s="2"/>
      <c r="C73" s="2"/>
      <c r="D73" s="2"/>
      <c r="E73" s="2"/>
      <c r="F73" s="2"/>
    </row>
    <row r="74" spans="1:6" ht="12.75" customHeight="1" x14ac:dyDescent="0.25">
      <c r="A74" s="2"/>
      <c r="B74" s="2"/>
      <c r="C74" s="2"/>
      <c r="D74" s="2"/>
      <c r="E74" s="2"/>
      <c r="F74" s="2"/>
    </row>
    <row r="75" spans="1:6" ht="12.75" customHeight="1" x14ac:dyDescent="0.25">
      <c r="A75" s="2"/>
      <c r="B75" s="2"/>
      <c r="C75" s="2"/>
      <c r="D75" s="2"/>
      <c r="E75" s="2"/>
      <c r="F75" s="2"/>
    </row>
    <row r="76" spans="1:6" ht="12.75" customHeight="1" x14ac:dyDescent="0.25">
      <c r="A76" s="2"/>
      <c r="B76" s="2"/>
      <c r="C76" s="2"/>
      <c r="D76" s="2"/>
      <c r="E76" s="2"/>
      <c r="F76" s="2"/>
    </row>
    <row r="77" spans="1:6" ht="12.75" customHeight="1" x14ac:dyDescent="0.25">
      <c r="A77" s="2"/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2"/>
      <c r="D78" s="2"/>
      <c r="E78" s="2"/>
      <c r="F78" s="2"/>
    </row>
    <row r="79" spans="1:6" ht="12.75" customHeight="1" x14ac:dyDescent="0.25">
      <c r="A79" s="2"/>
      <c r="B79" s="2"/>
      <c r="C79" s="2"/>
      <c r="D79" s="2"/>
      <c r="E79" s="2"/>
      <c r="F79" s="2"/>
    </row>
    <row r="80" spans="1:6" ht="12.75" customHeight="1" x14ac:dyDescent="0.25">
      <c r="A80" s="2"/>
      <c r="B80" s="2"/>
      <c r="C80" s="2"/>
      <c r="D80" s="2"/>
      <c r="E80" s="2"/>
      <c r="F80" s="2"/>
    </row>
    <row r="81" spans="1:6" ht="12.75" customHeight="1" x14ac:dyDescent="0.25">
      <c r="A81" s="2"/>
      <c r="B81" s="2"/>
      <c r="C81" s="2"/>
      <c r="D81" s="2"/>
      <c r="E81" s="2"/>
      <c r="F81" s="2"/>
    </row>
    <row r="82" spans="1:6" ht="12.75" customHeight="1" x14ac:dyDescent="0.25">
      <c r="A82" s="2"/>
      <c r="B82" s="2"/>
      <c r="C82" s="2"/>
      <c r="D82" s="2"/>
      <c r="E82" s="2"/>
      <c r="F82" s="2"/>
    </row>
    <row r="83" spans="1:6" ht="12.75" customHeight="1" x14ac:dyDescent="0.25">
      <c r="A83" s="2"/>
      <c r="B83" s="2"/>
      <c r="C83" s="2"/>
      <c r="D83" s="2"/>
      <c r="E83" s="2"/>
      <c r="F83" s="2"/>
    </row>
    <row r="84" spans="1:6" ht="12.75" customHeight="1" x14ac:dyDescent="0.25">
      <c r="A84" s="2"/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2"/>
      <c r="D85" s="2"/>
      <c r="E85" s="2"/>
      <c r="F85" s="2"/>
    </row>
    <row r="86" spans="1:6" ht="12.75" customHeight="1" x14ac:dyDescent="0.25">
      <c r="A86" s="2"/>
      <c r="B86" s="2"/>
      <c r="C86" s="2"/>
      <c r="D86" s="2"/>
      <c r="E86" s="2"/>
      <c r="F86" s="2"/>
    </row>
    <row r="87" spans="1:6" ht="12.75" customHeight="1" x14ac:dyDescent="0.25">
      <c r="A87" s="2"/>
      <c r="B87" s="2"/>
      <c r="C87" s="2"/>
      <c r="D87" s="2"/>
      <c r="E87" s="2"/>
      <c r="F87" s="2"/>
    </row>
    <row r="88" spans="1:6" ht="12.75" customHeight="1" x14ac:dyDescent="0.25">
      <c r="A88" s="2"/>
      <c r="B88" s="2"/>
      <c r="C88" s="2"/>
      <c r="D88" s="2"/>
      <c r="E88" s="2"/>
      <c r="F88" s="2"/>
    </row>
    <row r="89" spans="1:6" ht="12.75" customHeight="1" x14ac:dyDescent="0.25">
      <c r="A89" s="2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2"/>
      <c r="B91" s="2"/>
      <c r="C91" s="2"/>
      <c r="D91" s="2"/>
      <c r="E91" s="2"/>
      <c r="F91" s="2"/>
    </row>
    <row r="92" spans="1:6" ht="12.75" customHeight="1" x14ac:dyDescent="0.25">
      <c r="A92" s="2"/>
      <c r="B92" s="2"/>
      <c r="C92" s="2"/>
      <c r="D92" s="2"/>
      <c r="E92" s="2"/>
      <c r="F92" s="2"/>
    </row>
    <row r="93" spans="1:6" ht="12.75" customHeight="1" x14ac:dyDescent="0.25">
      <c r="A93" s="2"/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2"/>
      <c r="D94" s="2"/>
      <c r="E94" s="2"/>
      <c r="F94" s="2"/>
    </row>
    <row r="95" spans="1:6" ht="12.75" customHeight="1" x14ac:dyDescent="0.25">
      <c r="A95" s="2"/>
      <c r="B95" s="2"/>
      <c r="C95" s="2"/>
      <c r="D95" s="2"/>
      <c r="E95" s="2"/>
      <c r="F95" s="2"/>
    </row>
    <row r="96" spans="1:6" ht="12.75" customHeight="1" x14ac:dyDescent="0.25">
      <c r="A96" s="2"/>
      <c r="B96" s="2"/>
      <c r="C96" s="2"/>
      <c r="D96" s="2"/>
      <c r="E96" s="2"/>
      <c r="F96" s="2"/>
    </row>
    <row r="97" spans="1:6" ht="12.75" customHeight="1" x14ac:dyDescent="0.25">
      <c r="A97" s="2"/>
      <c r="B97" s="2"/>
      <c r="C97" s="2"/>
      <c r="D97" s="2"/>
      <c r="E97" s="2"/>
      <c r="F97" s="2"/>
    </row>
    <row r="98" spans="1:6" ht="12.75" customHeight="1" x14ac:dyDescent="0.25">
      <c r="A98" s="2"/>
      <c r="B98" s="2"/>
      <c r="C98" s="2"/>
      <c r="D98" s="2"/>
      <c r="E98" s="2"/>
      <c r="F98" s="2"/>
    </row>
    <row r="99" spans="1:6" ht="12.75" customHeight="1" x14ac:dyDescent="0.25">
      <c r="A99" s="2"/>
      <c r="B99" s="2"/>
      <c r="C99" s="2"/>
      <c r="D99" s="2"/>
      <c r="E99" s="2"/>
      <c r="F99" s="2"/>
    </row>
    <row r="100" spans="1:6" ht="12.75" customHeight="1" x14ac:dyDescent="0.25">
      <c r="A100" s="2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2"/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2"/>
      <c r="D103" s="2"/>
      <c r="E103" s="2"/>
      <c r="F103" s="2"/>
    </row>
    <row r="104" spans="1:6" ht="12.75" customHeight="1" x14ac:dyDescent="0.25">
      <c r="A104" s="2"/>
      <c r="B104" s="2"/>
      <c r="C104" s="2"/>
      <c r="D104" s="2"/>
      <c r="E104" s="2"/>
      <c r="F104" s="2"/>
    </row>
    <row r="105" spans="1:6" ht="12.75" customHeight="1" x14ac:dyDescent="0.25">
      <c r="A105" s="2"/>
      <c r="B105" s="2"/>
      <c r="C105" s="2"/>
      <c r="D105" s="2"/>
      <c r="E105" s="2"/>
      <c r="F105" s="2"/>
    </row>
    <row r="106" spans="1:6" ht="12.75" customHeight="1" x14ac:dyDescent="0.25">
      <c r="A106" s="2"/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2"/>
      <c r="D107" s="2"/>
      <c r="E107" s="2"/>
      <c r="F107" s="2"/>
    </row>
    <row r="108" spans="1:6" ht="12.75" customHeight="1" x14ac:dyDescent="0.25">
      <c r="A108" s="2"/>
      <c r="B108" s="2"/>
      <c r="C108" s="2"/>
      <c r="D108" s="2"/>
      <c r="E108" s="2"/>
      <c r="F108" s="2"/>
    </row>
    <row r="109" spans="1:6" ht="12.75" customHeight="1" x14ac:dyDescent="0.25">
      <c r="A109" s="2"/>
      <c r="B109" s="2"/>
      <c r="C109" s="2"/>
      <c r="D109" s="2"/>
      <c r="E109" s="2"/>
      <c r="F109" s="2"/>
    </row>
    <row r="110" spans="1:6" ht="12.75" customHeight="1" x14ac:dyDescent="0.25">
      <c r="A110" s="2"/>
      <c r="B110" s="2"/>
      <c r="C110" s="2"/>
      <c r="D110" s="2"/>
      <c r="E110" s="2"/>
      <c r="F110" s="2"/>
    </row>
    <row r="111" spans="1:6" ht="12.75" customHeight="1" x14ac:dyDescent="0.25">
      <c r="A111" s="2"/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2"/>
      <c r="D112" s="2"/>
      <c r="E112" s="2"/>
      <c r="F112" s="2"/>
    </row>
    <row r="113" spans="1:6" ht="12.75" customHeight="1" x14ac:dyDescent="0.25">
      <c r="A113" s="2"/>
      <c r="B113" s="2"/>
      <c r="C113" s="2"/>
      <c r="D113" s="2"/>
      <c r="E113" s="2"/>
      <c r="F113" s="2"/>
    </row>
    <row r="114" spans="1:6" ht="12.75" customHeight="1" x14ac:dyDescent="0.25">
      <c r="A114" s="2"/>
      <c r="B114" s="2"/>
      <c r="C114" s="2"/>
      <c r="D114" s="2"/>
      <c r="E114" s="2"/>
      <c r="F114" s="2"/>
    </row>
    <row r="115" spans="1:6" ht="12.75" customHeight="1" x14ac:dyDescent="0.25">
      <c r="A115" s="2"/>
      <c r="B115" s="2"/>
      <c r="C115" s="2"/>
      <c r="D115" s="2"/>
      <c r="E115" s="2"/>
      <c r="F115" s="2"/>
    </row>
    <row r="116" spans="1:6" ht="12.75" customHeight="1" x14ac:dyDescent="0.25">
      <c r="A116" s="2"/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2"/>
      <c r="D117" s="2"/>
      <c r="E117" s="2"/>
      <c r="F117" s="2"/>
    </row>
    <row r="118" spans="1:6" ht="12.75" customHeight="1" x14ac:dyDescent="0.25">
      <c r="A118" s="2"/>
      <c r="B118" s="2"/>
      <c r="C118" s="2"/>
      <c r="D118" s="2"/>
      <c r="E118" s="2"/>
      <c r="F118" s="2"/>
    </row>
    <row r="119" spans="1:6" ht="12.75" customHeight="1" x14ac:dyDescent="0.25">
      <c r="A119" s="2"/>
      <c r="B119" s="2"/>
      <c r="C119" s="2"/>
      <c r="D119" s="2"/>
      <c r="E119" s="2"/>
      <c r="F119" s="2"/>
    </row>
    <row r="120" spans="1:6" ht="12.75" customHeight="1" x14ac:dyDescent="0.25">
      <c r="A120" s="2"/>
      <c r="B120" s="2"/>
      <c r="C120" s="2"/>
      <c r="D120" s="2"/>
      <c r="E120" s="2"/>
      <c r="F120" s="2"/>
    </row>
    <row r="121" spans="1:6" ht="12.75" customHeight="1" x14ac:dyDescent="0.25">
      <c r="A121" s="2"/>
      <c r="B121" s="2"/>
      <c r="C121" s="2"/>
      <c r="D121" s="2"/>
      <c r="E121" s="2"/>
      <c r="F121" s="2"/>
    </row>
    <row r="122" spans="1:6" ht="12.75" customHeight="1" x14ac:dyDescent="0.25">
      <c r="A122" s="2"/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2"/>
      <c r="D123" s="2"/>
      <c r="E123" s="2"/>
      <c r="F123" s="2"/>
    </row>
    <row r="124" spans="1:6" ht="12.75" customHeight="1" x14ac:dyDescent="0.25">
      <c r="A124" s="2"/>
      <c r="B124" s="2"/>
      <c r="C124" s="2"/>
      <c r="D124" s="2"/>
      <c r="E124" s="2"/>
      <c r="F124" s="2"/>
    </row>
    <row r="125" spans="1:6" ht="12.75" customHeight="1" x14ac:dyDescent="0.25">
      <c r="A125" s="2"/>
      <c r="B125" s="2"/>
      <c r="C125" s="2"/>
      <c r="D125" s="2"/>
      <c r="E125" s="2"/>
      <c r="F125" s="2"/>
    </row>
    <row r="126" spans="1:6" ht="12.75" customHeight="1" x14ac:dyDescent="0.25">
      <c r="A126" s="2"/>
      <c r="B126" s="2"/>
      <c r="C126" s="2"/>
      <c r="D126" s="2"/>
      <c r="E126" s="2"/>
      <c r="F126" s="2"/>
    </row>
    <row r="127" spans="1:6" ht="12.75" customHeight="1" x14ac:dyDescent="0.25">
      <c r="A127" s="2"/>
      <c r="B127" s="2"/>
      <c r="C127" s="2"/>
      <c r="D127" s="2"/>
      <c r="E127" s="2"/>
      <c r="F127" s="2"/>
    </row>
    <row r="128" spans="1:6" ht="12.75" customHeight="1" x14ac:dyDescent="0.25">
      <c r="A128" s="2"/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2"/>
      <c r="D129" s="2"/>
      <c r="E129" s="2"/>
      <c r="F129" s="2"/>
    </row>
    <row r="130" spans="1:6" ht="12.75" customHeight="1" x14ac:dyDescent="0.25">
      <c r="A130" s="2"/>
      <c r="B130" s="2"/>
      <c r="C130" s="2"/>
      <c r="D130" s="2"/>
      <c r="E130" s="2"/>
      <c r="F130" s="2"/>
    </row>
    <row r="131" spans="1:6" ht="12.75" customHeight="1" x14ac:dyDescent="0.25">
      <c r="A131" s="2"/>
      <c r="B131" s="2"/>
      <c r="C131" s="2"/>
      <c r="D131" s="2"/>
      <c r="E131" s="2"/>
      <c r="F131" s="2"/>
    </row>
    <row r="132" spans="1:6" ht="12.75" customHeight="1" x14ac:dyDescent="0.25">
      <c r="A132" s="2"/>
      <c r="B132" s="2"/>
      <c r="C132" s="2"/>
      <c r="D132" s="2"/>
      <c r="E132" s="2"/>
      <c r="F132" s="2"/>
    </row>
    <row r="133" spans="1:6" ht="12.75" customHeight="1" x14ac:dyDescent="0.25">
      <c r="A133" s="2"/>
      <c r="B133" s="2"/>
      <c r="C133" s="2"/>
      <c r="D133" s="2"/>
      <c r="E133" s="2"/>
      <c r="F133" s="2"/>
    </row>
    <row r="134" spans="1:6" ht="12.75" customHeight="1" x14ac:dyDescent="0.25">
      <c r="A134" s="2"/>
      <c r="B134" s="2"/>
      <c r="C134" s="2"/>
      <c r="D134" s="2"/>
      <c r="E134" s="2"/>
      <c r="F134" s="2"/>
    </row>
    <row r="135" spans="1:6" ht="12.75" customHeight="1" x14ac:dyDescent="0.25">
      <c r="A135" s="2"/>
      <c r="B135" s="2"/>
      <c r="C135" s="2"/>
      <c r="D135" s="2"/>
      <c r="E135" s="2"/>
      <c r="F135" s="2"/>
    </row>
    <row r="136" spans="1:6" ht="12.75" customHeight="1" x14ac:dyDescent="0.25">
      <c r="A136" s="2"/>
      <c r="B136" s="2"/>
      <c r="C136" s="2"/>
      <c r="D136" s="2"/>
      <c r="E136" s="2"/>
      <c r="F136" s="2"/>
    </row>
    <row r="137" spans="1:6" ht="12.75" customHeight="1" x14ac:dyDescent="0.25">
      <c r="A137" s="2"/>
      <c r="B137" s="2"/>
      <c r="C137" s="2"/>
      <c r="D137" s="2"/>
      <c r="E137" s="2"/>
      <c r="F137" s="2"/>
    </row>
    <row r="138" spans="1:6" ht="12.75" customHeight="1" x14ac:dyDescent="0.25">
      <c r="A138" s="2"/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2"/>
      <c r="D139" s="2"/>
      <c r="E139" s="2"/>
      <c r="F139" s="2"/>
    </row>
    <row r="140" spans="1:6" ht="12.75" customHeight="1" x14ac:dyDescent="0.25">
      <c r="A140" s="2"/>
      <c r="B140" s="2"/>
      <c r="C140" s="2"/>
      <c r="D140" s="2"/>
      <c r="E140" s="2"/>
      <c r="F140" s="2"/>
    </row>
    <row r="141" spans="1:6" ht="12.75" customHeight="1" x14ac:dyDescent="0.25">
      <c r="A141" s="2"/>
      <c r="B141" s="2"/>
      <c r="C141" s="2"/>
      <c r="D141" s="2"/>
      <c r="E141" s="2"/>
      <c r="F141" s="2"/>
    </row>
    <row r="142" spans="1:6" ht="12.75" customHeight="1" x14ac:dyDescent="0.25">
      <c r="A142" s="2"/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2"/>
      <c r="D143" s="2"/>
      <c r="E143" s="2"/>
      <c r="F143" s="2"/>
    </row>
    <row r="144" spans="1:6" ht="12.75" customHeight="1" x14ac:dyDescent="0.25">
      <c r="A144" s="2"/>
      <c r="B144" s="2"/>
      <c r="C144" s="2"/>
      <c r="D144" s="2"/>
      <c r="E144" s="2"/>
      <c r="F144" s="2"/>
    </row>
    <row r="145" spans="1:6" ht="12.75" customHeight="1" x14ac:dyDescent="0.25">
      <c r="A145" s="2"/>
      <c r="B145" s="2"/>
      <c r="C145" s="2"/>
      <c r="D145" s="2"/>
      <c r="E145" s="2"/>
      <c r="F145" s="2"/>
    </row>
    <row r="146" spans="1:6" ht="12.75" customHeight="1" x14ac:dyDescent="0.25">
      <c r="A146" s="2"/>
      <c r="B146" s="2"/>
      <c r="C146" s="2"/>
      <c r="D146" s="2"/>
      <c r="E146" s="2"/>
      <c r="F146" s="2"/>
    </row>
    <row r="147" spans="1:6" ht="12.75" customHeight="1" x14ac:dyDescent="0.25">
      <c r="A147" s="2"/>
      <c r="B147" s="2"/>
      <c r="C147" s="2"/>
      <c r="D147" s="2"/>
      <c r="E147" s="2"/>
      <c r="F147" s="2"/>
    </row>
    <row r="148" spans="1:6" ht="12.75" customHeight="1" x14ac:dyDescent="0.25">
      <c r="A148" s="2"/>
      <c r="B148" s="2"/>
      <c r="C148" s="2"/>
      <c r="D148" s="2"/>
      <c r="E148" s="2"/>
      <c r="F148" s="2"/>
    </row>
    <row r="149" spans="1:6" ht="12.75" customHeight="1" x14ac:dyDescent="0.25">
      <c r="A149" s="2"/>
      <c r="B149" s="2"/>
      <c r="C149" s="2"/>
      <c r="D149" s="2"/>
      <c r="E149" s="2"/>
      <c r="F149" s="2"/>
    </row>
    <row r="150" spans="1:6" ht="12.75" customHeight="1" x14ac:dyDescent="0.25">
      <c r="A150" s="2"/>
      <c r="B150" s="2"/>
      <c r="C150" s="2"/>
      <c r="D150" s="2"/>
      <c r="E150" s="2"/>
      <c r="F150" s="2"/>
    </row>
    <row r="151" spans="1:6" ht="12.75" customHeight="1" x14ac:dyDescent="0.25">
      <c r="A151" s="2"/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2"/>
      <c r="D152" s="2"/>
      <c r="E152" s="2"/>
      <c r="F152" s="2"/>
    </row>
    <row r="153" spans="1:6" ht="12.75" customHeight="1" x14ac:dyDescent="0.25">
      <c r="A153" s="2"/>
      <c r="B153" s="2"/>
      <c r="C153" s="2"/>
      <c r="D153" s="2"/>
      <c r="E153" s="2"/>
      <c r="F153" s="2"/>
    </row>
    <row r="154" spans="1:6" ht="12.75" customHeight="1" x14ac:dyDescent="0.25">
      <c r="A154" s="2"/>
      <c r="B154" s="2"/>
      <c r="C154" s="2"/>
      <c r="D154" s="2"/>
      <c r="E154" s="2"/>
      <c r="F154" s="2"/>
    </row>
    <row r="155" spans="1:6" ht="12.75" customHeight="1" x14ac:dyDescent="0.25">
      <c r="A155" s="2"/>
      <c r="B155" s="2"/>
      <c r="C155" s="2"/>
      <c r="D155" s="2"/>
      <c r="E155" s="2"/>
      <c r="F155" s="2"/>
    </row>
    <row r="156" spans="1:6" ht="12.75" customHeight="1" x14ac:dyDescent="0.25">
      <c r="A156" s="2"/>
      <c r="B156" s="2"/>
      <c r="C156" s="2"/>
      <c r="D156" s="2"/>
      <c r="E156" s="2"/>
      <c r="F156" s="2"/>
    </row>
    <row r="157" spans="1:6" ht="12.75" customHeight="1" x14ac:dyDescent="0.25">
      <c r="A157" s="2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2"/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2"/>
      <c r="D160" s="2"/>
      <c r="E160" s="2"/>
      <c r="F160" s="2"/>
    </row>
    <row r="161" spans="1:6" ht="12.75" customHeight="1" x14ac:dyDescent="0.25">
      <c r="A161" s="2"/>
      <c r="B161" s="2"/>
      <c r="C161" s="2"/>
      <c r="D161" s="2"/>
      <c r="E161" s="2"/>
      <c r="F161" s="2"/>
    </row>
    <row r="162" spans="1:6" ht="12.75" customHeight="1" x14ac:dyDescent="0.25">
      <c r="A162" s="2"/>
      <c r="B162" s="2"/>
      <c r="C162" s="2"/>
      <c r="D162" s="2"/>
      <c r="E162" s="2"/>
      <c r="F162" s="2"/>
    </row>
    <row r="163" spans="1:6" ht="12.75" customHeight="1" x14ac:dyDescent="0.25">
      <c r="A163" s="2"/>
      <c r="B163" s="2"/>
      <c r="C163" s="2"/>
      <c r="D163" s="2"/>
      <c r="E163" s="2"/>
      <c r="F163" s="2"/>
    </row>
    <row r="164" spans="1:6" ht="12.75" customHeight="1" x14ac:dyDescent="0.25">
      <c r="A164" s="2"/>
      <c r="B164" s="2"/>
      <c r="C164" s="2"/>
      <c r="D164" s="2"/>
      <c r="E164" s="2"/>
      <c r="F164" s="2"/>
    </row>
    <row r="165" spans="1:6" ht="12.75" customHeight="1" x14ac:dyDescent="0.25">
      <c r="A165" s="2"/>
      <c r="B165" s="2"/>
      <c r="C165" s="2"/>
      <c r="D165" s="2"/>
      <c r="E165" s="2"/>
      <c r="F165" s="2"/>
    </row>
    <row r="166" spans="1:6" ht="12.75" customHeight="1" x14ac:dyDescent="0.25">
      <c r="A166" s="2"/>
      <c r="B166" s="2"/>
      <c r="C166" s="2"/>
      <c r="D166" s="2"/>
      <c r="E166" s="2"/>
      <c r="F166" s="2"/>
    </row>
    <row r="167" spans="1:6" ht="12.75" customHeight="1" x14ac:dyDescent="0.25">
      <c r="A167" s="2"/>
      <c r="B167" s="2"/>
      <c r="C167" s="2"/>
      <c r="D167" s="2"/>
      <c r="E167" s="2"/>
      <c r="F167" s="2"/>
    </row>
    <row r="168" spans="1:6" ht="12.75" customHeight="1" x14ac:dyDescent="0.25">
      <c r="A168" s="2"/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2"/>
      <c r="D169" s="2"/>
      <c r="E169" s="2"/>
      <c r="F169" s="2"/>
    </row>
    <row r="170" spans="1:6" ht="12.75" customHeight="1" x14ac:dyDescent="0.25">
      <c r="A170" s="2"/>
      <c r="B170" s="2"/>
      <c r="C170" s="2"/>
      <c r="D170" s="2"/>
      <c r="E170" s="2"/>
      <c r="F170" s="2"/>
    </row>
    <row r="171" spans="1:6" ht="12.75" customHeight="1" x14ac:dyDescent="0.25">
      <c r="A171" s="2"/>
      <c r="B171" s="2"/>
      <c r="C171" s="2"/>
      <c r="D171" s="2"/>
      <c r="E171" s="2"/>
      <c r="F171" s="2"/>
    </row>
    <row r="172" spans="1:6" ht="12.75" customHeight="1" x14ac:dyDescent="0.25">
      <c r="A172" s="2"/>
      <c r="B172" s="2"/>
      <c r="C172" s="2"/>
      <c r="D172" s="2"/>
      <c r="E172" s="2"/>
      <c r="F172" s="2"/>
    </row>
    <row r="173" spans="1:6" ht="12.75" customHeight="1" x14ac:dyDescent="0.25">
      <c r="A173" s="2"/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2"/>
      <c r="D174" s="2"/>
      <c r="E174" s="2"/>
      <c r="F174" s="2"/>
    </row>
    <row r="175" spans="1:6" ht="12.75" customHeight="1" x14ac:dyDescent="0.25">
      <c r="A175" s="2"/>
      <c r="B175" s="2"/>
      <c r="C175" s="2"/>
      <c r="D175" s="2"/>
      <c r="E175" s="2"/>
      <c r="F175" s="2"/>
    </row>
    <row r="176" spans="1:6" ht="12.75" customHeight="1" x14ac:dyDescent="0.25">
      <c r="A176" s="2"/>
      <c r="B176" s="2"/>
      <c r="C176" s="2"/>
      <c r="D176" s="2"/>
      <c r="E176" s="2"/>
      <c r="F176" s="2"/>
    </row>
    <row r="177" spans="1:6" ht="12.75" customHeight="1" x14ac:dyDescent="0.25">
      <c r="A177" s="2"/>
      <c r="B177" s="2"/>
      <c r="C177" s="2"/>
      <c r="D177" s="2"/>
      <c r="E177" s="2"/>
      <c r="F177" s="2"/>
    </row>
    <row r="178" spans="1:6" ht="12.75" customHeight="1" x14ac:dyDescent="0.25">
      <c r="A178" s="2"/>
      <c r="B178" s="2"/>
      <c r="C178" s="2"/>
      <c r="D178" s="2"/>
      <c r="E178" s="2"/>
      <c r="F178" s="2"/>
    </row>
    <row r="179" spans="1:6" ht="12.75" customHeight="1" x14ac:dyDescent="0.25">
      <c r="A179" s="2"/>
      <c r="B179" s="2"/>
      <c r="C179" s="2"/>
      <c r="D179" s="2"/>
      <c r="E179" s="2"/>
      <c r="F179" s="2"/>
    </row>
    <row r="180" spans="1:6" ht="12.75" customHeight="1" x14ac:dyDescent="0.25">
      <c r="A180" s="2"/>
      <c r="B180" s="2"/>
      <c r="C180" s="2"/>
      <c r="D180" s="2"/>
      <c r="E180" s="2"/>
      <c r="F180" s="2"/>
    </row>
    <row r="181" spans="1:6" ht="12.75" customHeight="1" x14ac:dyDescent="0.25">
      <c r="A181" s="2"/>
      <c r="B181" s="2"/>
      <c r="C181" s="2"/>
      <c r="D181" s="2"/>
      <c r="E181" s="2"/>
      <c r="F181" s="2"/>
    </row>
    <row r="182" spans="1:6" ht="12.75" customHeight="1" x14ac:dyDescent="0.25">
      <c r="A182" s="2"/>
      <c r="B182" s="2"/>
      <c r="C182" s="2"/>
      <c r="D182" s="2"/>
      <c r="E182" s="2"/>
      <c r="F182" s="2"/>
    </row>
    <row r="183" spans="1:6" ht="12.75" customHeight="1" x14ac:dyDescent="0.25">
      <c r="A183" s="2"/>
      <c r="B183" s="2"/>
      <c r="C183" s="2"/>
      <c r="D183" s="2"/>
      <c r="E183" s="2"/>
      <c r="F183" s="2"/>
    </row>
    <row r="184" spans="1:6" ht="12.75" customHeight="1" x14ac:dyDescent="0.25">
      <c r="A184" s="2"/>
      <c r="B184" s="2"/>
      <c r="C184" s="2"/>
      <c r="D184" s="2"/>
      <c r="E184" s="2"/>
      <c r="F184" s="2"/>
    </row>
    <row r="185" spans="1:6" ht="12.75" customHeight="1" x14ac:dyDescent="0.25">
      <c r="A185" s="2"/>
      <c r="B185" s="2"/>
      <c r="C185" s="2"/>
      <c r="D185" s="2"/>
      <c r="E185" s="2"/>
      <c r="F185" s="2"/>
    </row>
    <row r="186" spans="1:6" ht="12.75" customHeight="1" x14ac:dyDescent="0.25">
      <c r="A186" s="2"/>
      <c r="B186" s="2"/>
      <c r="C186" s="2"/>
      <c r="D186" s="2"/>
      <c r="E186" s="2"/>
      <c r="F186" s="2"/>
    </row>
    <row r="187" spans="1:6" ht="12.75" customHeight="1" x14ac:dyDescent="0.25">
      <c r="A187" s="2"/>
      <c r="B187" s="2"/>
      <c r="C187" s="2"/>
      <c r="D187" s="2"/>
      <c r="E187" s="2"/>
      <c r="F187" s="2"/>
    </row>
    <row r="188" spans="1:6" ht="12.75" customHeight="1" x14ac:dyDescent="0.25">
      <c r="A188" s="2"/>
      <c r="B188" s="2"/>
      <c r="C188" s="2"/>
      <c r="D188" s="2"/>
      <c r="E188" s="2"/>
      <c r="F188" s="2"/>
    </row>
    <row r="189" spans="1:6" ht="12.75" customHeight="1" x14ac:dyDescent="0.25">
      <c r="A189" s="2"/>
      <c r="B189" s="2"/>
      <c r="C189" s="2"/>
      <c r="D189" s="2"/>
      <c r="E189" s="2"/>
      <c r="F189" s="2"/>
    </row>
    <row r="190" spans="1:6" ht="12.75" customHeight="1" x14ac:dyDescent="0.25">
      <c r="A190" s="2"/>
      <c r="B190" s="2"/>
      <c r="C190" s="2"/>
      <c r="D190" s="2"/>
      <c r="E190" s="2"/>
      <c r="F190" s="2"/>
    </row>
    <row r="191" spans="1:6" ht="12.75" customHeight="1" x14ac:dyDescent="0.25">
      <c r="A191" s="2"/>
      <c r="B191" s="2"/>
      <c r="C191" s="2"/>
      <c r="D191" s="2"/>
      <c r="E191" s="2"/>
      <c r="F191" s="2"/>
    </row>
    <row r="192" spans="1:6" ht="12.75" customHeight="1" x14ac:dyDescent="0.25">
      <c r="A192" s="2"/>
      <c r="B192" s="2"/>
      <c r="C192" s="2"/>
      <c r="D192" s="2"/>
      <c r="E192" s="2"/>
      <c r="F192" s="2"/>
    </row>
    <row r="193" spans="1:6" ht="12.75" customHeight="1" x14ac:dyDescent="0.25">
      <c r="A193" s="2"/>
      <c r="B193" s="2"/>
      <c r="C193" s="2"/>
      <c r="D193" s="2"/>
      <c r="E193" s="2"/>
      <c r="F193" s="2"/>
    </row>
    <row r="194" spans="1:6" ht="12.75" customHeight="1" x14ac:dyDescent="0.25">
      <c r="A194" s="2"/>
      <c r="B194" s="2"/>
      <c r="C194" s="2"/>
      <c r="D194" s="2"/>
      <c r="E194" s="2"/>
      <c r="F194" s="2"/>
    </row>
    <row r="195" spans="1:6" ht="12.75" customHeight="1" x14ac:dyDescent="0.25">
      <c r="A195" s="2"/>
      <c r="B195" s="2"/>
      <c r="C195" s="2"/>
      <c r="D195" s="2"/>
      <c r="E195" s="2"/>
      <c r="F195" s="2"/>
    </row>
    <row r="196" spans="1:6" ht="12.75" customHeight="1" x14ac:dyDescent="0.25">
      <c r="A196" s="2"/>
      <c r="B196" s="2"/>
      <c r="C196" s="2"/>
      <c r="D196" s="2"/>
      <c r="E196" s="2"/>
      <c r="F196" s="2"/>
    </row>
    <row r="197" spans="1:6" ht="12.75" customHeight="1" x14ac:dyDescent="0.25">
      <c r="A197" s="2"/>
      <c r="B197" s="2"/>
      <c r="C197" s="2"/>
      <c r="D197" s="2"/>
      <c r="E197" s="2"/>
      <c r="F197" s="2"/>
    </row>
    <row r="198" spans="1:6" ht="12.75" customHeight="1" x14ac:dyDescent="0.25">
      <c r="A198" s="2"/>
      <c r="B198" s="2"/>
      <c r="C198" s="2"/>
      <c r="D198" s="2"/>
      <c r="E198" s="2"/>
      <c r="F198" s="2"/>
    </row>
    <row r="199" spans="1:6" ht="12.75" customHeight="1" x14ac:dyDescent="0.25">
      <c r="A199" s="2"/>
      <c r="B199" s="2"/>
      <c r="C199" s="2"/>
      <c r="D199" s="2"/>
      <c r="E199" s="2"/>
      <c r="F199" s="2"/>
    </row>
    <row r="200" spans="1:6" ht="12.75" customHeight="1" x14ac:dyDescent="0.25">
      <c r="A200" s="2"/>
      <c r="B200" s="2"/>
      <c r="C200" s="2"/>
      <c r="D200" s="2"/>
      <c r="E200" s="2"/>
      <c r="F200" s="2"/>
    </row>
    <row r="201" spans="1:6" ht="12.75" customHeight="1" x14ac:dyDescent="0.25">
      <c r="A201" s="2"/>
      <c r="B201" s="2"/>
      <c r="C201" s="2"/>
      <c r="D201" s="2"/>
      <c r="E201" s="2"/>
      <c r="F201" s="2"/>
    </row>
    <row r="202" spans="1:6" ht="12.75" customHeight="1" x14ac:dyDescent="0.25">
      <c r="A202" s="2"/>
      <c r="B202" s="2"/>
      <c r="C202" s="2"/>
      <c r="D202" s="2"/>
      <c r="E202" s="2"/>
      <c r="F202" s="2"/>
    </row>
    <row r="203" spans="1:6" ht="12.75" customHeight="1" x14ac:dyDescent="0.25">
      <c r="A203" s="2"/>
      <c r="B203" s="2"/>
      <c r="C203" s="2"/>
      <c r="D203" s="2"/>
      <c r="E203" s="2"/>
      <c r="F203" s="2"/>
    </row>
    <row r="204" spans="1:6" ht="12.75" customHeight="1" x14ac:dyDescent="0.25">
      <c r="A204" s="2"/>
      <c r="B204" s="2"/>
      <c r="C204" s="2"/>
      <c r="D204" s="2"/>
      <c r="E204" s="2"/>
      <c r="F204" s="2"/>
    </row>
    <row r="205" spans="1:6" ht="12.75" customHeight="1" x14ac:dyDescent="0.25">
      <c r="A205" s="2"/>
      <c r="B205" s="2"/>
      <c r="C205" s="2"/>
      <c r="D205" s="2"/>
      <c r="E205" s="2"/>
      <c r="F205" s="2"/>
    </row>
    <row r="206" spans="1:6" ht="12.75" customHeight="1" x14ac:dyDescent="0.25">
      <c r="A206" s="2"/>
      <c r="B206" s="2"/>
      <c r="C206" s="2"/>
      <c r="D206" s="2"/>
      <c r="E206" s="2"/>
      <c r="F206" s="2"/>
    </row>
    <row r="207" spans="1:6" ht="12.75" customHeight="1" x14ac:dyDescent="0.25">
      <c r="A207" s="2"/>
      <c r="B207" s="2"/>
      <c r="C207" s="2"/>
      <c r="D207" s="2"/>
      <c r="E207" s="2"/>
      <c r="F207" s="2"/>
    </row>
    <row r="208" spans="1:6" ht="12.75" customHeight="1" x14ac:dyDescent="0.25">
      <c r="A208" s="2"/>
      <c r="B208" s="2"/>
      <c r="C208" s="2"/>
      <c r="D208" s="2"/>
      <c r="E208" s="2"/>
      <c r="F208" s="2"/>
    </row>
    <row r="209" spans="1:6" ht="12.75" customHeight="1" x14ac:dyDescent="0.25">
      <c r="A209" s="2"/>
      <c r="B209" s="2"/>
      <c r="C209" s="2"/>
      <c r="D209" s="2"/>
      <c r="E209" s="2"/>
      <c r="F209" s="2"/>
    </row>
    <row r="210" spans="1:6" ht="12.75" customHeight="1" x14ac:dyDescent="0.25">
      <c r="A210" s="2"/>
      <c r="B210" s="2"/>
      <c r="C210" s="2"/>
      <c r="D210" s="2"/>
      <c r="E210" s="2"/>
      <c r="F210" s="2"/>
    </row>
    <row r="211" spans="1:6" ht="12.75" customHeight="1" x14ac:dyDescent="0.25">
      <c r="A211" s="2"/>
      <c r="B211" s="2"/>
      <c r="C211" s="2"/>
      <c r="D211" s="2"/>
      <c r="E211" s="2"/>
      <c r="F211" s="2"/>
    </row>
    <row r="212" spans="1:6" ht="12.75" customHeight="1" x14ac:dyDescent="0.25">
      <c r="A212" s="2"/>
      <c r="B212" s="2"/>
      <c r="C212" s="2"/>
      <c r="D212" s="2"/>
      <c r="E212" s="2"/>
      <c r="F212" s="2"/>
    </row>
    <row r="213" spans="1:6" ht="12.75" customHeight="1" x14ac:dyDescent="0.25">
      <c r="A213" s="2"/>
      <c r="B213" s="2"/>
      <c r="C213" s="2"/>
      <c r="D213" s="2"/>
      <c r="E213" s="2"/>
      <c r="F213" s="2"/>
    </row>
    <row r="214" spans="1:6" ht="12.75" customHeight="1" x14ac:dyDescent="0.25">
      <c r="A214" s="2"/>
      <c r="B214" s="2"/>
      <c r="C214" s="2"/>
      <c r="D214" s="2"/>
      <c r="E214" s="2"/>
      <c r="F214" s="2"/>
    </row>
    <row r="215" spans="1:6" ht="12.75" customHeight="1" x14ac:dyDescent="0.25">
      <c r="A215" s="2"/>
      <c r="B215" s="2"/>
      <c r="C215" s="2"/>
      <c r="D215" s="2"/>
      <c r="E215" s="2"/>
      <c r="F215" s="2"/>
    </row>
    <row r="216" spans="1:6" ht="12.75" customHeight="1" x14ac:dyDescent="0.25">
      <c r="A216" s="2"/>
      <c r="B216" s="2"/>
      <c r="C216" s="2"/>
      <c r="D216" s="2"/>
      <c r="E216" s="2"/>
      <c r="F216" s="2"/>
    </row>
    <row r="217" spans="1:6" ht="12.75" customHeight="1" x14ac:dyDescent="0.25">
      <c r="A217" s="2"/>
      <c r="B217" s="2"/>
      <c r="C217" s="2"/>
      <c r="D217" s="2"/>
      <c r="E217" s="2"/>
      <c r="F217" s="2"/>
    </row>
    <row r="218" spans="1:6" ht="12.75" customHeight="1" x14ac:dyDescent="0.25">
      <c r="A218" s="2"/>
      <c r="B218" s="2"/>
      <c r="C218" s="2"/>
      <c r="D218" s="2"/>
      <c r="E218" s="2"/>
      <c r="F218" s="2"/>
    </row>
    <row r="219" spans="1:6" ht="12.75" customHeight="1" x14ac:dyDescent="0.25">
      <c r="A219" s="2"/>
      <c r="B219" s="2"/>
      <c r="C219" s="2"/>
      <c r="D219" s="2"/>
      <c r="E219" s="2"/>
      <c r="F219" s="2"/>
    </row>
    <row r="220" spans="1:6" ht="12.75" customHeight="1" x14ac:dyDescent="0.25">
      <c r="A220" s="2"/>
      <c r="B220" s="2"/>
      <c r="C220" s="2"/>
      <c r="D220" s="2"/>
      <c r="E220" s="2"/>
      <c r="F220" s="2"/>
    </row>
    <row r="221" spans="1:6" ht="12.75" customHeight="1" x14ac:dyDescent="0.25">
      <c r="A221" s="2"/>
      <c r="B221" s="2"/>
      <c r="C221" s="2"/>
      <c r="D221" s="2"/>
      <c r="E221" s="2"/>
      <c r="F221" s="2"/>
    </row>
    <row r="222" spans="1:6" ht="12.75" customHeight="1" x14ac:dyDescent="0.25">
      <c r="A222" s="2"/>
      <c r="B222" s="2"/>
      <c r="C222" s="2"/>
      <c r="D222" s="2"/>
      <c r="E222" s="2"/>
      <c r="F222" s="2"/>
    </row>
    <row r="223" spans="1:6" ht="12.75" customHeight="1" x14ac:dyDescent="0.25">
      <c r="A223" s="2"/>
      <c r="B223" s="2"/>
      <c r="C223" s="2"/>
      <c r="D223" s="2"/>
      <c r="E223" s="2"/>
      <c r="F223" s="2"/>
    </row>
    <row r="224" spans="1:6" ht="12.75" customHeight="1" x14ac:dyDescent="0.25">
      <c r="A224" s="2"/>
      <c r="B224" s="2"/>
      <c r="C224" s="2"/>
      <c r="D224" s="2"/>
      <c r="E224" s="2"/>
      <c r="F224" s="2"/>
    </row>
    <row r="225" spans="1:6" ht="12.75" customHeight="1" x14ac:dyDescent="0.25">
      <c r="A225" s="2"/>
      <c r="B225" s="2"/>
      <c r="C225" s="2"/>
      <c r="D225" s="2"/>
      <c r="E225" s="2"/>
      <c r="F225" s="2"/>
    </row>
    <row r="226" spans="1:6" ht="12.75" customHeight="1" x14ac:dyDescent="0.25">
      <c r="A226" s="2"/>
      <c r="B226" s="2"/>
      <c r="C226" s="2"/>
      <c r="D226" s="2"/>
      <c r="E226" s="2"/>
      <c r="F226" s="2"/>
    </row>
    <row r="227" spans="1:6" ht="12.75" customHeight="1" x14ac:dyDescent="0.25">
      <c r="A227" s="2"/>
      <c r="B227" s="2"/>
      <c r="C227" s="2"/>
      <c r="D227" s="2"/>
      <c r="E227" s="2"/>
      <c r="F227" s="2"/>
    </row>
    <row r="228" spans="1:6" ht="12.75" customHeight="1" x14ac:dyDescent="0.25">
      <c r="A228" s="2"/>
      <c r="B228" s="2"/>
      <c r="C228" s="2"/>
      <c r="D228" s="2"/>
      <c r="E228" s="2"/>
      <c r="F228" s="2"/>
    </row>
    <row r="229" spans="1:6" ht="12.75" customHeight="1" x14ac:dyDescent="0.25">
      <c r="A229" s="2"/>
      <c r="B229" s="2"/>
      <c r="C229" s="2"/>
      <c r="D229" s="2"/>
      <c r="E229" s="2"/>
      <c r="F229" s="2"/>
    </row>
    <row r="230" spans="1:6" ht="12.75" customHeight="1" x14ac:dyDescent="0.25">
      <c r="A230" s="2"/>
      <c r="B230" s="2"/>
      <c r="C230" s="2"/>
      <c r="D230" s="2"/>
      <c r="E230" s="2"/>
      <c r="F230" s="2"/>
    </row>
    <row r="231" spans="1:6" ht="12.75" customHeight="1" x14ac:dyDescent="0.25">
      <c r="A231" s="2"/>
      <c r="B231" s="2"/>
      <c r="C231" s="2"/>
      <c r="D231" s="2"/>
      <c r="E231" s="2"/>
      <c r="F231" s="2"/>
    </row>
    <row r="232" spans="1:6" ht="12.75" customHeight="1" x14ac:dyDescent="0.25">
      <c r="A232" s="2"/>
      <c r="B232" s="2"/>
      <c r="C232" s="2"/>
      <c r="D232" s="2"/>
      <c r="E232" s="2"/>
      <c r="F232" s="2"/>
    </row>
    <row r="233" spans="1:6" ht="12.75" customHeight="1" x14ac:dyDescent="0.25">
      <c r="A233" s="2"/>
      <c r="B233" s="2"/>
      <c r="C233" s="2"/>
      <c r="D233" s="2"/>
      <c r="E233" s="2"/>
      <c r="F233" s="2"/>
    </row>
    <row r="234" spans="1:6" ht="12.75" customHeight="1" x14ac:dyDescent="0.25">
      <c r="A234" s="2"/>
      <c r="B234" s="2"/>
      <c r="C234" s="2"/>
      <c r="D234" s="2"/>
      <c r="E234" s="2"/>
      <c r="F234" s="2"/>
    </row>
    <row r="235" spans="1:6" ht="12.75" customHeight="1" x14ac:dyDescent="0.25">
      <c r="A235" s="2"/>
      <c r="B235" s="2"/>
      <c r="C235" s="2"/>
      <c r="D235" s="2"/>
      <c r="E235" s="2"/>
      <c r="F235" s="2"/>
    </row>
    <row r="236" spans="1:6" ht="12.75" customHeight="1" x14ac:dyDescent="0.25">
      <c r="A236" s="2"/>
      <c r="B236" s="2"/>
      <c r="C236" s="2"/>
      <c r="D236" s="2"/>
      <c r="E236" s="2"/>
      <c r="F236" s="2"/>
    </row>
    <row r="237" spans="1:6" ht="12.75" customHeight="1" x14ac:dyDescent="0.25">
      <c r="A237" s="2"/>
      <c r="B237" s="2"/>
      <c r="C237" s="2"/>
      <c r="D237" s="2"/>
      <c r="E237" s="2"/>
      <c r="F237" s="2"/>
    </row>
    <row r="238" spans="1:6" ht="12.75" customHeight="1" x14ac:dyDescent="0.25">
      <c r="A238" s="2"/>
      <c r="B238" s="2"/>
      <c r="C238" s="2"/>
      <c r="D238" s="2"/>
      <c r="E238" s="2"/>
      <c r="F238" s="2"/>
    </row>
    <row r="239" spans="1:6" ht="12.75" customHeight="1" x14ac:dyDescent="0.25">
      <c r="A239" s="2"/>
      <c r="B239" s="2"/>
      <c r="C239" s="2"/>
      <c r="D239" s="2"/>
      <c r="E239" s="2"/>
      <c r="F239" s="2"/>
    </row>
    <row r="240" spans="1:6" ht="12.75" customHeight="1" x14ac:dyDescent="0.25">
      <c r="A240" s="2"/>
      <c r="B240" s="2"/>
      <c r="C240" s="2"/>
      <c r="D240" s="2"/>
      <c r="E240" s="2"/>
      <c r="F240" s="2"/>
    </row>
    <row r="241" spans="1:6" ht="12.75" customHeight="1" x14ac:dyDescent="0.25">
      <c r="A241" s="2"/>
      <c r="B241" s="2"/>
      <c r="C241" s="2"/>
      <c r="D241" s="2"/>
      <c r="E241" s="2"/>
      <c r="F241" s="2"/>
    </row>
    <row r="242" spans="1:6" ht="12.75" customHeight="1" x14ac:dyDescent="0.25">
      <c r="A242" s="2"/>
      <c r="B242" s="2"/>
      <c r="C242" s="2"/>
      <c r="D242" s="2"/>
      <c r="E242" s="2"/>
      <c r="F242" s="2"/>
    </row>
    <row r="243" spans="1:6" ht="12.75" customHeight="1" x14ac:dyDescent="0.25">
      <c r="A243" s="2"/>
      <c r="B243" s="2"/>
      <c r="C243" s="2"/>
      <c r="D243" s="2"/>
      <c r="E243" s="2"/>
      <c r="F243" s="2"/>
    </row>
    <row r="244" spans="1:6" ht="12.75" customHeight="1" x14ac:dyDescent="0.25">
      <c r="A244" s="2"/>
      <c r="B244" s="2"/>
      <c r="C244" s="2"/>
      <c r="D244" s="2"/>
      <c r="E244" s="2"/>
      <c r="F244" s="2"/>
    </row>
    <row r="245" spans="1:6" ht="12.75" customHeight="1" x14ac:dyDescent="0.25">
      <c r="A245" s="2"/>
      <c r="B245" s="2"/>
      <c r="C245" s="2"/>
      <c r="D245" s="2"/>
      <c r="E245" s="2"/>
      <c r="F245" s="2"/>
    </row>
    <row r="246" spans="1:6" ht="12.75" customHeight="1" x14ac:dyDescent="0.25">
      <c r="A246" s="2"/>
      <c r="B246" s="2"/>
      <c r="C246" s="2"/>
      <c r="D246" s="2"/>
      <c r="E246" s="2"/>
      <c r="F246" s="2"/>
    </row>
    <row r="247" spans="1:6" ht="12.75" customHeight="1" x14ac:dyDescent="0.25">
      <c r="A247" s="2"/>
      <c r="B247" s="2"/>
      <c r="C247" s="2"/>
      <c r="D247" s="2"/>
      <c r="E247" s="2"/>
      <c r="F247" s="2"/>
    </row>
    <row r="248" spans="1:6" ht="12.75" customHeight="1" x14ac:dyDescent="0.25">
      <c r="A248" s="2"/>
      <c r="B248" s="2"/>
      <c r="C248" s="2"/>
      <c r="D248" s="2"/>
      <c r="E248" s="2"/>
      <c r="F248" s="2"/>
    </row>
    <row r="249" spans="1:6" ht="12.75" customHeight="1" x14ac:dyDescent="0.25">
      <c r="A249" s="2"/>
      <c r="B249" s="2"/>
      <c r="C249" s="2"/>
      <c r="D249" s="2"/>
      <c r="E249" s="2"/>
      <c r="F249" s="2"/>
    </row>
    <row r="250" spans="1:6" ht="12.75" customHeight="1" x14ac:dyDescent="0.25">
      <c r="A250" s="2"/>
      <c r="B250" s="2"/>
      <c r="C250" s="2"/>
      <c r="D250" s="2"/>
      <c r="E250" s="2"/>
      <c r="F250" s="2"/>
    </row>
    <row r="251" spans="1:6" ht="12.75" customHeight="1" x14ac:dyDescent="0.25">
      <c r="A251" s="2"/>
      <c r="B251" s="2"/>
      <c r="C251" s="2"/>
      <c r="D251" s="2"/>
      <c r="E251" s="2"/>
      <c r="F251" s="2"/>
    </row>
    <row r="252" spans="1:6" ht="12.75" customHeight="1" x14ac:dyDescent="0.25">
      <c r="A252" s="2"/>
      <c r="B252" s="2"/>
      <c r="C252" s="2"/>
      <c r="D252" s="2"/>
      <c r="E252" s="2"/>
      <c r="F252" s="2"/>
    </row>
    <row r="253" spans="1:6" ht="12.75" customHeight="1" x14ac:dyDescent="0.25">
      <c r="A253" s="2"/>
      <c r="B253" s="2"/>
      <c r="C253" s="2"/>
      <c r="D253" s="2"/>
      <c r="E253" s="2"/>
      <c r="F253" s="2"/>
    </row>
    <row r="254" spans="1:6" ht="12.75" customHeight="1" x14ac:dyDescent="0.25">
      <c r="A254" s="2"/>
      <c r="B254" s="2"/>
      <c r="C254" s="2"/>
      <c r="D254" s="2"/>
      <c r="E254" s="2"/>
      <c r="F254" s="2"/>
    </row>
    <row r="255" spans="1:6" ht="12.75" customHeight="1" x14ac:dyDescent="0.25">
      <c r="A255" s="2"/>
      <c r="B255" s="2"/>
      <c r="C255" s="2"/>
      <c r="D255" s="2"/>
      <c r="E255" s="2"/>
      <c r="F255" s="2"/>
    </row>
    <row r="256" spans="1:6" ht="12.75" customHeight="1" x14ac:dyDescent="0.25">
      <c r="A256" s="2"/>
      <c r="B256" s="2"/>
      <c r="C256" s="2"/>
      <c r="D256" s="2"/>
      <c r="E256" s="2"/>
      <c r="F256" s="2"/>
    </row>
    <row r="257" spans="1:6" ht="12.75" customHeight="1" x14ac:dyDescent="0.25">
      <c r="A257" s="2"/>
      <c r="B257" s="2"/>
      <c r="C257" s="2"/>
      <c r="D257" s="2"/>
      <c r="E257" s="2"/>
      <c r="F257" s="2"/>
    </row>
    <row r="258" spans="1:6" ht="12.75" customHeight="1" x14ac:dyDescent="0.25">
      <c r="A258" s="2"/>
      <c r="B258" s="2"/>
      <c r="C258" s="2"/>
      <c r="D258" s="2"/>
      <c r="E258" s="2"/>
      <c r="F258" s="2"/>
    </row>
    <row r="259" spans="1:6" ht="12.75" customHeight="1" x14ac:dyDescent="0.25">
      <c r="A259" s="2"/>
      <c r="B259" s="2"/>
      <c r="C259" s="2"/>
      <c r="D259" s="2"/>
      <c r="E259" s="2"/>
      <c r="F259" s="2"/>
    </row>
    <row r="260" spans="1:6" ht="12.75" customHeight="1" x14ac:dyDescent="0.25">
      <c r="A260" s="2"/>
      <c r="B260" s="2"/>
      <c r="C260" s="2"/>
      <c r="D260" s="2"/>
      <c r="E260" s="2"/>
      <c r="F260" s="2"/>
    </row>
    <row r="261" spans="1:6" ht="12.75" customHeight="1" x14ac:dyDescent="0.25">
      <c r="A261" s="2"/>
      <c r="B261" s="2"/>
      <c r="C261" s="2"/>
      <c r="D261" s="2"/>
      <c r="E261" s="2"/>
      <c r="F261" s="2"/>
    </row>
    <row r="262" spans="1:6" ht="12.75" customHeight="1" x14ac:dyDescent="0.25">
      <c r="A262" s="2"/>
      <c r="B262" s="2"/>
      <c r="C262" s="2"/>
      <c r="D262" s="2"/>
      <c r="E262" s="2"/>
      <c r="F262" s="2"/>
    </row>
    <row r="263" spans="1:6" ht="12.75" customHeight="1" x14ac:dyDescent="0.25">
      <c r="A263" s="2"/>
      <c r="B263" s="2"/>
      <c r="C263" s="2"/>
      <c r="D263" s="2"/>
      <c r="E263" s="2"/>
      <c r="F263" s="2"/>
    </row>
    <row r="264" spans="1:6" ht="12.75" customHeight="1" x14ac:dyDescent="0.25">
      <c r="A264" s="2"/>
      <c r="B264" s="2"/>
      <c r="C264" s="2"/>
      <c r="D264" s="2"/>
      <c r="E264" s="2"/>
      <c r="F264" s="2"/>
    </row>
    <row r="265" spans="1:6" ht="12.75" customHeight="1" x14ac:dyDescent="0.25">
      <c r="A265" s="2"/>
      <c r="B265" s="2"/>
      <c r="C265" s="2"/>
      <c r="D265" s="2"/>
      <c r="E265" s="2"/>
      <c r="F265" s="2"/>
    </row>
    <row r="266" spans="1:6" ht="12.75" customHeight="1" x14ac:dyDescent="0.25">
      <c r="A266" s="2"/>
      <c r="B266" s="2"/>
      <c r="C266" s="2"/>
      <c r="D266" s="2"/>
      <c r="E266" s="2"/>
      <c r="F266" s="2"/>
    </row>
    <row r="267" spans="1:6" ht="12.75" customHeight="1" x14ac:dyDescent="0.25">
      <c r="A267" s="2"/>
      <c r="B267" s="2"/>
      <c r="C267" s="2"/>
      <c r="D267" s="2"/>
      <c r="E267" s="2"/>
      <c r="F267" s="2"/>
    </row>
    <row r="268" spans="1:6" ht="12.75" customHeight="1" x14ac:dyDescent="0.25">
      <c r="A268" s="2"/>
      <c r="B268" s="2"/>
      <c r="C268" s="2"/>
      <c r="D268" s="2"/>
      <c r="E268" s="2"/>
      <c r="F268" s="2"/>
    </row>
    <row r="269" spans="1:6" ht="12.75" customHeight="1" x14ac:dyDescent="0.25">
      <c r="A269" s="2"/>
      <c r="B269" s="2"/>
      <c r="C269" s="2"/>
      <c r="D269" s="2"/>
      <c r="E269" s="2"/>
      <c r="F269" s="2"/>
    </row>
    <row r="270" spans="1:6" ht="12.75" customHeight="1" x14ac:dyDescent="0.25">
      <c r="A270" s="2"/>
      <c r="B270" s="2"/>
      <c r="C270" s="2"/>
      <c r="D270" s="2"/>
      <c r="E270" s="2"/>
      <c r="F270" s="2"/>
    </row>
    <row r="271" spans="1:6" ht="12.75" customHeight="1" x14ac:dyDescent="0.25">
      <c r="A271" s="2"/>
      <c r="B271" s="2"/>
      <c r="C271" s="2"/>
      <c r="D271" s="2"/>
      <c r="E271" s="2"/>
      <c r="F271" s="2"/>
    </row>
    <row r="272" spans="1:6" ht="12.75" customHeight="1" x14ac:dyDescent="0.25">
      <c r="A272" s="2"/>
      <c r="B272" s="2"/>
      <c r="C272" s="2"/>
      <c r="D272" s="2"/>
      <c r="E272" s="2"/>
      <c r="F272" s="2"/>
    </row>
    <row r="273" spans="1:6" ht="12.75" customHeight="1" x14ac:dyDescent="0.25">
      <c r="A273" s="2"/>
      <c r="B273" s="2"/>
      <c r="C273" s="2"/>
      <c r="D273" s="2"/>
      <c r="E273" s="2"/>
      <c r="F273" s="2"/>
    </row>
    <row r="274" spans="1:6" ht="12.75" customHeight="1" x14ac:dyDescent="0.25">
      <c r="A274" s="2"/>
      <c r="B274" s="2"/>
      <c r="C274" s="2"/>
      <c r="D274" s="2"/>
      <c r="E274" s="2"/>
      <c r="F274" s="2"/>
    </row>
    <row r="275" spans="1:6" ht="12.75" customHeight="1" x14ac:dyDescent="0.25">
      <c r="A275" s="2"/>
      <c r="B275" s="2"/>
      <c r="C275" s="2"/>
      <c r="D275" s="2"/>
      <c r="E275" s="2"/>
      <c r="F275" s="2"/>
    </row>
    <row r="276" spans="1:6" ht="12.75" customHeight="1" x14ac:dyDescent="0.25">
      <c r="A276" s="2"/>
      <c r="B276" s="2"/>
      <c r="C276" s="2"/>
      <c r="D276" s="2"/>
      <c r="E276" s="2"/>
      <c r="F276" s="2"/>
    </row>
    <row r="277" spans="1:6" ht="12.75" customHeight="1" x14ac:dyDescent="0.25">
      <c r="A277" s="2"/>
      <c r="B277" s="2"/>
      <c r="C277" s="2"/>
      <c r="D277" s="2"/>
      <c r="E277" s="2"/>
      <c r="F277" s="2"/>
    </row>
    <row r="278" spans="1:6" ht="12.75" customHeight="1" x14ac:dyDescent="0.25">
      <c r="A278" s="2"/>
      <c r="B278" s="2"/>
      <c r="C278" s="2"/>
      <c r="D278" s="2"/>
      <c r="E278" s="2"/>
      <c r="F278" s="2"/>
    </row>
    <row r="279" spans="1:6" ht="12.75" customHeight="1" x14ac:dyDescent="0.25">
      <c r="A279" s="2"/>
      <c r="B279" s="2"/>
      <c r="C279" s="2"/>
      <c r="D279" s="2"/>
      <c r="E279" s="2"/>
      <c r="F279" s="2"/>
    </row>
    <row r="280" spans="1:6" ht="12.75" customHeight="1" x14ac:dyDescent="0.25">
      <c r="A280" s="2"/>
      <c r="B280" s="2"/>
      <c r="C280" s="2"/>
      <c r="D280" s="2"/>
      <c r="E280" s="2"/>
      <c r="F280" s="2"/>
    </row>
    <row r="281" spans="1:6" ht="12.75" customHeight="1" x14ac:dyDescent="0.25">
      <c r="A281" s="2"/>
      <c r="B281" s="2"/>
      <c r="C281" s="2"/>
      <c r="D281" s="2"/>
      <c r="E281" s="2"/>
      <c r="F281" s="2"/>
    </row>
    <row r="282" spans="1:6" ht="12.75" customHeight="1" x14ac:dyDescent="0.25">
      <c r="A282" s="2"/>
      <c r="B282" s="2"/>
      <c r="C282" s="2"/>
      <c r="D282" s="2"/>
      <c r="E282" s="2"/>
      <c r="F282" s="2"/>
    </row>
    <row r="283" spans="1:6" ht="12.75" customHeight="1" x14ac:dyDescent="0.25">
      <c r="A283" s="2"/>
      <c r="B283" s="2"/>
      <c r="C283" s="2"/>
      <c r="D283" s="2"/>
      <c r="E283" s="2"/>
      <c r="F283" s="2"/>
    </row>
    <row r="284" spans="1:6" ht="12.75" customHeight="1" x14ac:dyDescent="0.25">
      <c r="A284" s="2"/>
      <c r="B284" s="2"/>
      <c r="C284" s="2"/>
      <c r="D284" s="2"/>
      <c r="E284" s="2"/>
      <c r="F284" s="2"/>
    </row>
    <row r="285" spans="1:6" ht="12.75" customHeight="1" x14ac:dyDescent="0.25">
      <c r="A285" s="2"/>
      <c r="B285" s="2"/>
      <c r="C285" s="2"/>
      <c r="D285" s="2"/>
      <c r="E285" s="2"/>
      <c r="F285" s="2"/>
    </row>
    <row r="286" spans="1:6" ht="12.75" customHeight="1" x14ac:dyDescent="0.25">
      <c r="A286" s="2"/>
      <c r="B286" s="2"/>
      <c r="C286" s="2"/>
      <c r="D286" s="2"/>
      <c r="E286" s="2"/>
      <c r="F286" s="2"/>
    </row>
    <row r="287" spans="1:6" ht="12.75" customHeight="1" x14ac:dyDescent="0.25">
      <c r="A287" s="2"/>
      <c r="B287" s="2"/>
      <c r="C287" s="2"/>
      <c r="D287" s="2"/>
      <c r="E287" s="2"/>
      <c r="F287" s="2"/>
    </row>
    <row r="288" spans="1:6" ht="12.75" customHeight="1" x14ac:dyDescent="0.25">
      <c r="A288" s="2"/>
      <c r="B288" s="2"/>
      <c r="C288" s="2"/>
      <c r="D288" s="2"/>
      <c r="E288" s="2"/>
      <c r="F288" s="2"/>
    </row>
    <row r="289" spans="1:6" ht="12.75" customHeight="1" x14ac:dyDescent="0.25">
      <c r="A289" s="2"/>
      <c r="B289" s="2"/>
      <c r="C289" s="2"/>
      <c r="D289" s="2"/>
      <c r="E289" s="2"/>
      <c r="F289" s="2"/>
    </row>
    <row r="290" spans="1:6" ht="12.75" customHeight="1" x14ac:dyDescent="0.25">
      <c r="A290" s="2"/>
      <c r="B290" s="2"/>
      <c r="C290" s="2"/>
      <c r="D290" s="2"/>
      <c r="E290" s="2"/>
      <c r="F290" s="2"/>
    </row>
    <row r="291" spans="1:6" ht="12.75" customHeight="1" x14ac:dyDescent="0.25">
      <c r="A291" s="2"/>
      <c r="B291" s="2"/>
      <c r="C291" s="2"/>
      <c r="D291" s="2"/>
      <c r="E291" s="2"/>
      <c r="F291" s="2"/>
    </row>
    <row r="292" spans="1:6" ht="12.75" customHeight="1" x14ac:dyDescent="0.25">
      <c r="A292" s="2"/>
      <c r="B292" s="2"/>
      <c r="C292" s="2"/>
      <c r="D292" s="2"/>
      <c r="E292" s="2"/>
      <c r="F292" s="2"/>
    </row>
    <row r="293" spans="1:6" ht="12.75" customHeight="1" x14ac:dyDescent="0.25">
      <c r="A293" s="2"/>
      <c r="B293" s="2"/>
      <c r="C293" s="2"/>
      <c r="D293" s="2"/>
      <c r="E293" s="2"/>
      <c r="F293" s="2"/>
    </row>
    <row r="294" spans="1:6" ht="12.75" customHeight="1" x14ac:dyDescent="0.25">
      <c r="A294" s="2"/>
      <c r="B294" s="2"/>
      <c r="C294" s="2"/>
      <c r="D294" s="2"/>
      <c r="E294" s="2"/>
      <c r="F294" s="2"/>
    </row>
    <row r="295" spans="1:6" ht="12.75" customHeight="1" x14ac:dyDescent="0.25">
      <c r="A295" s="2"/>
      <c r="B295" s="2"/>
      <c r="C295" s="2"/>
      <c r="D295" s="2"/>
      <c r="E295" s="2"/>
      <c r="F295" s="2"/>
    </row>
    <row r="296" spans="1:6" ht="12.75" customHeight="1" x14ac:dyDescent="0.25">
      <c r="A296" s="2"/>
      <c r="B296" s="2"/>
      <c r="C296" s="2"/>
      <c r="D296" s="2"/>
      <c r="E296" s="2"/>
      <c r="F296" s="2"/>
    </row>
    <row r="297" spans="1:6" ht="12.75" customHeight="1" x14ac:dyDescent="0.25">
      <c r="A297" s="2"/>
      <c r="B297" s="2"/>
      <c r="C297" s="2"/>
      <c r="D297" s="2"/>
      <c r="E297" s="2"/>
      <c r="F297" s="2"/>
    </row>
    <row r="298" spans="1:6" ht="12.75" customHeight="1" x14ac:dyDescent="0.25">
      <c r="A298" s="2"/>
      <c r="B298" s="2"/>
      <c r="C298" s="2"/>
      <c r="D298" s="2"/>
      <c r="E298" s="2"/>
      <c r="F298" s="2"/>
    </row>
    <row r="299" spans="1:6" ht="12.75" customHeight="1" x14ac:dyDescent="0.25">
      <c r="A299" s="2"/>
      <c r="B299" s="2"/>
      <c r="C299" s="2"/>
      <c r="D299" s="2"/>
      <c r="E299" s="2"/>
      <c r="F299" s="2"/>
    </row>
    <row r="300" spans="1:6" ht="12.75" customHeight="1" x14ac:dyDescent="0.25">
      <c r="A300" s="2"/>
      <c r="B300" s="2"/>
      <c r="C300" s="2"/>
      <c r="D300" s="2"/>
      <c r="E300" s="2"/>
      <c r="F300" s="2"/>
    </row>
    <row r="301" spans="1:6" ht="12.75" customHeight="1" x14ac:dyDescent="0.25">
      <c r="A301" s="2"/>
      <c r="B301" s="2"/>
      <c r="C301" s="2"/>
      <c r="D301" s="2"/>
      <c r="E301" s="2"/>
      <c r="F301" s="2"/>
    </row>
    <row r="302" spans="1:6" ht="12.75" customHeight="1" x14ac:dyDescent="0.25">
      <c r="A302" s="2"/>
      <c r="B302" s="2"/>
      <c r="C302" s="2"/>
      <c r="D302" s="2"/>
      <c r="E302" s="2"/>
      <c r="F302" s="2"/>
    </row>
    <row r="303" spans="1:6" ht="12.75" customHeight="1" x14ac:dyDescent="0.25">
      <c r="A303" s="2"/>
      <c r="B303" s="2"/>
      <c r="C303" s="2"/>
      <c r="D303" s="2"/>
      <c r="E303" s="2"/>
      <c r="F303" s="2"/>
    </row>
    <row r="304" spans="1:6" ht="12.75" customHeight="1" x14ac:dyDescent="0.25">
      <c r="A304" s="2"/>
      <c r="B304" s="2"/>
      <c r="C304" s="2"/>
      <c r="D304" s="2"/>
      <c r="E304" s="2"/>
      <c r="F304" s="2"/>
    </row>
    <row r="305" spans="1:6" ht="12.75" customHeight="1" x14ac:dyDescent="0.25">
      <c r="A305" s="2"/>
      <c r="B305" s="2"/>
      <c r="C305" s="2"/>
      <c r="D305" s="2"/>
      <c r="E305" s="2"/>
      <c r="F305" s="2"/>
    </row>
    <row r="306" spans="1:6" ht="12.75" customHeight="1" x14ac:dyDescent="0.25">
      <c r="A306" s="2"/>
      <c r="B306" s="2"/>
      <c r="C306" s="2"/>
      <c r="D306" s="2"/>
      <c r="E306" s="2"/>
      <c r="F306" s="2"/>
    </row>
    <row r="307" spans="1:6" ht="12.75" customHeight="1" x14ac:dyDescent="0.25">
      <c r="A307" s="2"/>
      <c r="B307" s="2"/>
      <c r="C307" s="2"/>
      <c r="D307" s="2"/>
      <c r="E307" s="2"/>
      <c r="F307" s="2"/>
    </row>
    <row r="308" spans="1:6" ht="12.75" customHeight="1" x14ac:dyDescent="0.25">
      <c r="A308" s="2"/>
      <c r="B308" s="2"/>
      <c r="C308" s="2"/>
      <c r="D308" s="2"/>
      <c r="E308" s="2"/>
      <c r="F308" s="2"/>
    </row>
    <row r="309" spans="1:6" ht="12.75" customHeight="1" x14ac:dyDescent="0.25">
      <c r="A309" s="2"/>
      <c r="B309" s="2"/>
      <c r="C309" s="2"/>
      <c r="D309" s="2"/>
      <c r="E309" s="2"/>
      <c r="F309" s="2"/>
    </row>
    <row r="310" spans="1:6" ht="12.75" customHeight="1" x14ac:dyDescent="0.25">
      <c r="A310" s="2"/>
      <c r="B310" s="2"/>
      <c r="C310" s="2"/>
      <c r="D310" s="2"/>
      <c r="E310" s="2"/>
      <c r="F310" s="2"/>
    </row>
    <row r="311" spans="1:6" ht="12.75" customHeight="1" x14ac:dyDescent="0.25">
      <c r="A311" s="2"/>
      <c r="B311" s="2"/>
      <c r="C311" s="2"/>
      <c r="D311" s="2"/>
      <c r="E311" s="2"/>
      <c r="F311" s="2"/>
    </row>
    <row r="312" spans="1:6" ht="12.75" customHeight="1" x14ac:dyDescent="0.25">
      <c r="A312" s="2"/>
      <c r="B312" s="2"/>
      <c r="C312" s="2"/>
      <c r="D312" s="2"/>
      <c r="E312" s="2"/>
      <c r="F312" s="2"/>
    </row>
    <row r="313" spans="1:6" ht="12.75" customHeight="1" x14ac:dyDescent="0.25">
      <c r="A313" s="2"/>
      <c r="B313" s="2"/>
      <c r="C313" s="2"/>
      <c r="D313" s="2"/>
      <c r="E313" s="2"/>
      <c r="F313" s="2"/>
    </row>
    <row r="314" spans="1:6" ht="12.75" customHeight="1" x14ac:dyDescent="0.25">
      <c r="A314" s="2"/>
      <c r="B314" s="2"/>
      <c r="C314" s="2"/>
      <c r="D314" s="2"/>
      <c r="E314" s="2"/>
      <c r="F314" s="2"/>
    </row>
    <row r="315" spans="1:6" ht="12.75" customHeight="1" x14ac:dyDescent="0.25">
      <c r="A315" s="2"/>
      <c r="B315" s="2"/>
      <c r="C315" s="2"/>
      <c r="D315" s="2"/>
      <c r="E315" s="2"/>
      <c r="F315" s="2"/>
    </row>
    <row r="316" spans="1:6" ht="12.75" customHeight="1" x14ac:dyDescent="0.25">
      <c r="A316" s="2"/>
      <c r="B316" s="2"/>
      <c r="C316" s="2"/>
      <c r="D316" s="2"/>
      <c r="E316" s="2"/>
      <c r="F316" s="2"/>
    </row>
    <row r="317" spans="1:6" ht="12.75" customHeight="1" x14ac:dyDescent="0.25">
      <c r="A317" s="2"/>
      <c r="B317" s="2"/>
      <c r="C317" s="2"/>
      <c r="D317" s="2"/>
      <c r="E317" s="2"/>
      <c r="F317" s="2"/>
    </row>
    <row r="318" spans="1:6" ht="12.75" customHeight="1" x14ac:dyDescent="0.25">
      <c r="A318" s="2"/>
      <c r="B318" s="2"/>
      <c r="C318" s="2"/>
      <c r="D318" s="2"/>
      <c r="E318" s="2"/>
      <c r="F318" s="2"/>
    </row>
    <row r="319" spans="1:6" ht="12.75" customHeight="1" x14ac:dyDescent="0.25">
      <c r="A319" s="2"/>
      <c r="B319" s="2"/>
      <c r="C319" s="2"/>
      <c r="D319" s="2"/>
      <c r="E319" s="2"/>
      <c r="F319" s="2"/>
    </row>
    <row r="320" spans="1:6" ht="12.75" customHeight="1" x14ac:dyDescent="0.25">
      <c r="A320" s="2"/>
      <c r="B320" s="2"/>
      <c r="C320" s="2"/>
      <c r="D320" s="2"/>
      <c r="E320" s="2"/>
      <c r="F320" s="2"/>
    </row>
    <row r="321" spans="1:6" ht="12.75" customHeight="1" x14ac:dyDescent="0.25">
      <c r="A321" s="2"/>
      <c r="B321" s="2"/>
      <c r="C321" s="2"/>
      <c r="D321" s="2"/>
      <c r="E321" s="2"/>
      <c r="F321" s="2"/>
    </row>
    <row r="322" spans="1:6" ht="12.75" customHeight="1" x14ac:dyDescent="0.25">
      <c r="A322" s="2"/>
      <c r="B322" s="2"/>
      <c r="C322" s="2"/>
      <c r="D322" s="2"/>
      <c r="E322" s="2"/>
      <c r="F322" s="2"/>
    </row>
    <row r="323" spans="1:6" ht="12.75" customHeight="1" x14ac:dyDescent="0.25">
      <c r="A323" s="2"/>
      <c r="B323" s="2"/>
      <c r="C323" s="2"/>
      <c r="D323" s="2"/>
      <c r="E323" s="2"/>
      <c r="F323" s="2"/>
    </row>
    <row r="324" spans="1:6" ht="12.75" customHeight="1" x14ac:dyDescent="0.25">
      <c r="A324" s="2"/>
      <c r="B324" s="2"/>
      <c r="C324" s="2"/>
      <c r="D324" s="2"/>
      <c r="E324" s="2"/>
      <c r="F324" s="2"/>
    </row>
    <row r="325" spans="1:6" ht="12.75" customHeight="1" x14ac:dyDescent="0.25">
      <c r="A325" s="2"/>
      <c r="B325" s="2"/>
      <c r="C325" s="2"/>
      <c r="D325" s="2"/>
      <c r="E325" s="2"/>
      <c r="F325" s="2"/>
    </row>
    <row r="326" spans="1:6" ht="12.75" customHeight="1" x14ac:dyDescent="0.25">
      <c r="A326" s="2"/>
      <c r="B326" s="2"/>
      <c r="C326" s="2"/>
      <c r="D326" s="2"/>
      <c r="E326" s="2"/>
      <c r="F326" s="2"/>
    </row>
    <row r="327" spans="1:6" ht="12.75" customHeight="1" x14ac:dyDescent="0.25">
      <c r="A327" s="2"/>
      <c r="B327" s="2"/>
      <c r="C327" s="2"/>
      <c r="D327" s="2"/>
      <c r="E327" s="2"/>
      <c r="F327" s="2"/>
    </row>
    <row r="328" spans="1:6" ht="12.75" customHeight="1" x14ac:dyDescent="0.25">
      <c r="A328" s="2"/>
      <c r="B328" s="2"/>
      <c r="C328" s="2"/>
      <c r="D328" s="2"/>
      <c r="E328" s="2"/>
      <c r="F328" s="2"/>
    </row>
    <row r="329" spans="1:6" ht="12.75" customHeight="1" x14ac:dyDescent="0.25">
      <c r="A329" s="2"/>
      <c r="B329" s="2"/>
      <c r="C329" s="2"/>
      <c r="D329" s="2"/>
      <c r="E329" s="2"/>
      <c r="F329" s="2"/>
    </row>
    <row r="330" spans="1:6" ht="12.75" customHeight="1" x14ac:dyDescent="0.25">
      <c r="A330" s="2"/>
      <c r="B330" s="2"/>
      <c r="C330" s="2"/>
      <c r="D330" s="2"/>
      <c r="E330" s="2"/>
      <c r="F330" s="2"/>
    </row>
    <row r="331" spans="1:6" ht="12.75" customHeight="1" x14ac:dyDescent="0.25">
      <c r="A331" s="2"/>
      <c r="B331" s="2"/>
      <c r="C331" s="2"/>
      <c r="D331" s="2"/>
      <c r="E331" s="2"/>
      <c r="F331" s="2"/>
    </row>
    <row r="332" spans="1:6" ht="12.75" customHeight="1" x14ac:dyDescent="0.25">
      <c r="A332" s="2"/>
      <c r="B332" s="2"/>
      <c r="C332" s="2"/>
      <c r="D332" s="2"/>
      <c r="E332" s="2"/>
      <c r="F332" s="2"/>
    </row>
    <row r="333" spans="1:6" ht="12.75" customHeight="1" x14ac:dyDescent="0.25">
      <c r="A333" s="2"/>
      <c r="B333" s="2"/>
      <c r="C333" s="2"/>
      <c r="D333" s="2"/>
      <c r="E333" s="2"/>
      <c r="F333" s="2"/>
    </row>
    <row r="334" spans="1:6" ht="12.75" customHeight="1" x14ac:dyDescent="0.25">
      <c r="A334" s="2"/>
      <c r="B334" s="2"/>
      <c r="C334" s="2"/>
      <c r="D334" s="2"/>
      <c r="E334" s="2"/>
      <c r="F334" s="2"/>
    </row>
    <row r="335" spans="1:6" ht="12.75" customHeight="1" x14ac:dyDescent="0.25">
      <c r="A335" s="2"/>
      <c r="B335" s="2"/>
      <c r="C335" s="2"/>
      <c r="D335" s="2"/>
      <c r="E335" s="2"/>
      <c r="F335" s="2"/>
    </row>
    <row r="336" spans="1:6" ht="12.75" customHeight="1" x14ac:dyDescent="0.25">
      <c r="A336" s="2"/>
      <c r="B336" s="2"/>
      <c r="C336" s="2"/>
      <c r="D336" s="2"/>
      <c r="E336" s="2"/>
      <c r="F336" s="2"/>
    </row>
    <row r="337" spans="1:6" ht="12.75" customHeight="1" x14ac:dyDescent="0.25">
      <c r="A337" s="2"/>
      <c r="B337" s="2"/>
      <c r="C337" s="2"/>
      <c r="D337" s="2"/>
      <c r="E337" s="2"/>
      <c r="F337" s="2"/>
    </row>
    <row r="338" spans="1:6" ht="12.75" customHeight="1" x14ac:dyDescent="0.25">
      <c r="A338" s="2"/>
      <c r="B338" s="2"/>
      <c r="C338" s="2"/>
      <c r="D338" s="2"/>
      <c r="E338" s="2"/>
      <c r="F338" s="2"/>
    </row>
    <row r="339" spans="1:6" ht="12.75" customHeight="1" x14ac:dyDescent="0.25">
      <c r="A339" s="2"/>
      <c r="B339" s="2"/>
      <c r="C339" s="2"/>
      <c r="D339" s="2"/>
      <c r="E339" s="2"/>
      <c r="F339" s="2"/>
    </row>
    <row r="340" spans="1:6" ht="12.75" customHeight="1" x14ac:dyDescent="0.25">
      <c r="A340" s="2"/>
      <c r="B340" s="2"/>
      <c r="C340" s="2"/>
      <c r="D340" s="2"/>
      <c r="E340" s="2"/>
      <c r="F340" s="2"/>
    </row>
    <row r="341" spans="1:6" ht="12.75" customHeight="1" x14ac:dyDescent="0.25">
      <c r="A341" s="2"/>
      <c r="B341" s="2"/>
      <c r="C341" s="2"/>
      <c r="D341" s="2"/>
      <c r="E341" s="2"/>
      <c r="F341" s="2"/>
    </row>
    <row r="342" spans="1:6" ht="12.75" customHeight="1" x14ac:dyDescent="0.25">
      <c r="A342" s="2"/>
      <c r="B342" s="2"/>
      <c r="C342" s="2"/>
      <c r="D342" s="2"/>
      <c r="E342" s="2"/>
      <c r="F342" s="2"/>
    </row>
    <row r="343" spans="1:6" ht="12.75" customHeight="1" x14ac:dyDescent="0.25">
      <c r="A343" s="2"/>
      <c r="B343" s="2"/>
      <c r="C343" s="2"/>
      <c r="D343" s="2"/>
      <c r="E343" s="2"/>
      <c r="F343" s="2"/>
    </row>
    <row r="344" spans="1:6" ht="12.75" customHeight="1" x14ac:dyDescent="0.25">
      <c r="A344" s="2"/>
      <c r="B344" s="2"/>
      <c r="C344" s="2"/>
      <c r="D344" s="2"/>
      <c r="E344" s="2"/>
      <c r="F344" s="2"/>
    </row>
    <row r="345" spans="1:6" ht="12.75" customHeight="1" x14ac:dyDescent="0.25">
      <c r="A345" s="2"/>
      <c r="B345" s="2"/>
      <c r="C345" s="2"/>
      <c r="D345" s="2"/>
      <c r="E345" s="2"/>
      <c r="F345" s="2"/>
    </row>
    <row r="346" spans="1:6" ht="12.75" customHeight="1" x14ac:dyDescent="0.25">
      <c r="A346" s="2"/>
      <c r="B346" s="2"/>
      <c r="C346" s="2"/>
      <c r="D346" s="2"/>
      <c r="E346" s="2"/>
      <c r="F346" s="2"/>
    </row>
    <row r="347" spans="1:6" ht="12.75" customHeight="1" x14ac:dyDescent="0.25">
      <c r="A347" s="2"/>
      <c r="B347" s="2"/>
      <c r="C347" s="2"/>
      <c r="D347" s="2"/>
      <c r="E347" s="2"/>
      <c r="F347" s="2"/>
    </row>
    <row r="348" spans="1:6" ht="12.75" customHeight="1" x14ac:dyDescent="0.25">
      <c r="A348" s="2"/>
      <c r="B348" s="2"/>
      <c r="C348" s="2"/>
      <c r="D348" s="2"/>
      <c r="E348" s="2"/>
      <c r="F348" s="2"/>
    </row>
    <row r="349" spans="1:6" ht="12.75" customHeight="1" x14ac:dyDescent="0.25">
      <c r="A349" s="2"/>
      <c r="B349" s="2"/>
      <c r="C349" s="2"/>
      <c r="D349" s="2"/>
      <c r="E349" s="2"/>
      <c r="F349" s="2"/>
    </row>
    <row r="350" spans="1:6" ht="12.75" customHeight="1" x14ac:dyDescent="0.25">
      <c r="A350" s="2"/>
      <c r="B350" s="2"/>
      <c r="C350" s="2"/>
      <c r="D350" s="2"/>
      <c r="E350" s="2"/>
      <c r="F350" s="2"/>
    </row>
    <row r="351" spans="1:6" ht="12.75" customHeight="1" x14ac:dyDescent="0.25">
      <c r="A351" s="2"/>
      <c r="B351" s="2"/>
      <c r="C351" s="2"/>
      <c r="D351" s="2"/>
      <c r="E351" s="2"/>
      <c r="F351" s="2"/>
    </row>
    <row r="352" spans="1:6" ht="12.75" customHeight="1" x14ac:dyDescent="0.25">
      <c r="A352" s="2"/>
      <c r="B352" s="2"/>
      <c r="C352" s="2"/>
      <c r="D352" s="2"/>
      <c r="E352" s="2"/>
      <c r="F352" s="2"/>
    </row>
    <row r="353" spans="1:6" ht="12.75" customHeight="1" x14ac:dyDescent="0.25">
      <c r="A353" s="2"/>
      <c r="B353" s="2"/>
      <c r="C353" s="2"/>
      <c r="D353" s="2"/>
      <c r="E353" s="2"/>
      <c r="F353" s="2"/>
    </row>
    <row r="354" spans="1:6" ht="12.75" customHeight="1" x14ac:dyDescent="0.25">
      <c r="A354" s="2"/>
      <c r="B354" s="2"/>
      <c r="C354" s="2"/>
      <c r="D354" s="2"/>
      <c r="E354" s="2"/>
      <c r="F354" s="2"/>
    </row>
    <row r="355" spans="1:6" ht="12.75" customHeight="1" x14ac:dyDescent="0.25">
      <c r="A355" s="2"/>
      <c r="B355" s="2"/>
      <c r="C355" s="2"/>
      <c r="D355" s="2"/>
      <c r="E355" s="2"/>
      <c r="F355" s="2"/>
    </row>
    <row r="356" spans="1:6" ht="12.75" customHeight="1" x14ac:dyDescent="0.25">
      <c r="A356" s="2"/>
      <c r="B356" s="2"/>
      <c r="C356" s="2"/>
      <c r="D356" s="2"/>
      <c r="E356" s="2"/>
      <c r="F356" s="2"/>
    </row>
    <row r="357" spans="1:6" ht="12.75" customHeight="1" x14ac:dyDescent="0.25">
      <c r="A357" s="2"/>
      <c r="B357" s="2"/>
      <c r="C357" s="2"/>
      <c r="D357" s="2"/>
      <c r="E357" s="2"/>
      <c r="F357" s="2"/>
    </row>
    <row r="358" spans="1:6" ht="12.75" customHeight="1" x14ac:dyDescent="0.25">
      <c r="A358" s="2"/>
      <c r="B358" s="2"/>
      <c r="C358" s="2"/>
      <c r="D358" s="2"/>
      <c r="E358" s="2"/>
      <c r="F358" s="2"/>
    </row>
    <row r="359" spans="1:6" ht="12.75" customHeight="1" x14ac:dyDescent="0.25">
      <c r="A359" s="2"/>
      <c r="B359" s="2"/>
      <c r="C359" s="2"/>
      <c r="D359" s="2"/>
      <c r="E359" s="2"/>
      <c r="F359" s="2"/>
    </row>
    <row r="360" spans="1:6" ht="12.75" customHeight="1" x14ac:dyDescent="0.25">
      <c r="A360" s="2"/>
      <c r="B360" s="2"/>
      <c r="C360" s="2"/>
      <c r="D360" s="2"/>
      <c r="E360" s="2"/>
      <c r="F360" s="2"/>
    </row>
    <row r="361" spans="1:6" ht="12.75" customHeight="1" x14ac:dyDescent="0.25">
      <c r="A361" s="2"/>
      <c r="B361" s="2"/>
      <c r="C361" s="2"/>
      <c r="D361" s="2"/>
      <c r="E361" s="2"/>
      <c r="F361" s="2"/>
    </row>
    <row r="362" spans="1:6" ht="12.75" customHeight="1" x14ac:dyDescent="0.25">
      <c r="A362" s="2"/>
      <c r="B362" s="2"/>
      <c r="C362" s="2"/>
      <c r="D362" s="2"/>
      <c r="E362" s="2"/>
      <c r="F362" s="2"/>
    </row>
    <row r="363" spans="1:6" ht="12.75" customHeight="1" x14ac:dyDescent="0.25">
      <c r="A363" s="2"/>
      <c r="B363" s="2"/>
      <c r="C363" s="2"/>
      <c r="D363" s="2"/>
      <c r="E363" s="2"/>
      <c r="F363" s="2"/>
    </row>
    <row r="364" spans="1:6" ht="12.75" customHeight="1" x14ac:dyDescent="0.25">
      <c r="A364" s="2"/>
      <c r="B364" s="2"/>
      <c r="C364" s="2"/>
      <c r="D364" s="2"/>
      <c r="E364" s="2"/>
      <c r="F364" s="2"/>
    </row>
    <row r="365" spans="1:6" ht="12.75" customHeight="1" x14ac:dyDescent="0.25">
      <c r="A365" s="2"/>
      <c r="B365" s="2"/>
      <c r="C365" s="2"/>
      <c r="D365" s="2"/>
      <c r="E365" s="2"/>
      <c r="F365" s="2"/>
    </row>
    <row r="366" spans="1:6" ht="12.75" customHeight="1" x14ac:dyDescent="0.25">
      <c r="A366" s="2"/>
      <c r="B366" s="2"/>
      <c r="C366" s="2"/>
      <c r="D366" s="2"/>
      <c r="E366" s="2"/>
      <c r="F366" s="2"/>
    </row>
    <row r="367" spans="1:6" ht="12.75" customHeight="1" x14ac:dyDescent="0.25">
      <c r="A367" s="2"/>
      <c r="B367" s="2"/>
      <c r="C367" s="2"/>
      <c r="D367" s="2"/>
      <c r="E367" s="2"/>
      <c r="F367" s="2"/>
    </row>
    <row r="368" spans="1:6" ht="12.75" customHeight="1" x14ac:dyDescent="0.25">
      <c r="A368" s="2"/>
      <c r="B368" s="2"/>
      <c r="C368" s="2"/>
      <c r="D368" s="2"/>
      <c r="E368" s="2"/>
      <c r="F368" s="2"/>
    </row>
    <row r="369" spans="1:6" ht="12.75" customHeight="1" x14ac:dyDescent="0.25">
      <c r="A369" s="2"/>
      <c r="B369" s="2"/>
      <c r="C369" s="2"/>
      <c r="D369" s="2"/>
      <c r="E369" s="2"/>
      <c r="F369" s="2"/>
    </row>
    <row r="370" spans="1:6" ht="12.75" customHeight="1" x14ac:dyDescent="0.25">
      <c r="A370" s="2"/>
      <c r="B370" s="2"/>
      <c r="C370" s="2"/>
      <c r="D370" s="2"/>
      <c r="E370" s="2"/>
      <c r="F370" s="2"/>
    </row>
    <row r="371" spans="1:6" ht="12.75" customHeight="1" x14ac:dyDescent="0.25">
      <c r="A371" s="2"/>
      <c r="B371" s="2"/>
      <c r="C371" s="2"/>
      <c r="D371" s="2"/>
      <c r="E371" s="2"/>
      <c r="F371" s="2"/>
    </row>
    <row r="372" spans="1:6" ht="12.75" customHeight="1" x14ac:dyDescent="0.25">
      <c r="A372" s="2"/>
      <c r="B372" s="2"/>
      <c r="C372" s="2"/>
      <c r="D372" s="2"/>
      <c r="E372" s="2"/>
      <c r="F372" s="2"/>
    </row>
    <row r="373" spans="1:6" ht="12.75" customHeight="1" x14ac:dyDescent="0.25">
      <c r="A373" s="2"/>
      <c r="B373" s="2"/>
      <c r="C373" s="2"/>
      <c r="D373" s="2"/>
      <c r="E373" s="2"/>
      <c r="F373" s="2"/>
    </row>
    <row r="374" spans="1:6" ht="12.75" customHeight="1" x14ac:dyDescent="0.25">
      <c r="A374" s="2"/>
      <c r="B374" s="2"/>
      <c r="C374" s="2"/>
      <c r="D374" s="2"/>
      <c r="E374" s="2"/>
      <c r="F374" s="2"/>
    </row>
    <row r="375" spans="1:6" ht="12.75" customHeight="1" x14ac:dyDescent="0.25">
      <c r="A375" s="2"/>
      <c r="B375" s="2"/>
      <c r="C375" s="2"/>
      <c r="D375" s="2"/>
      <c r="E375" s="2"/>
      <c r="F375" s="2"/>
    </row>
    <row r="376" spans="1:6" ht="12.75" customHeight="1" x14ac:dyDescent="0.25">
      <c r="A376" s="2"/>
      <c r="B376" s="2"/>
      <c r="C376" s="2"/>
      <c r="D376" s="2"/>
      <c r="E376" s="2"/>
      <c r="F376" s="2"/>
    </row>
    <row r="377" spans="1:6" ht="12.75" customHeight="1" x14ac:dyDescent="0.25">
      <c r="A377" s="2"/>
      <c r="B377" s="2"/>
      <c r="C377" s="2"/>
      <c r="D377" s="2"/>
      <c r="E377" s="2"/>
      <c r="F377" s="2"/>
    </row>
    <row r="378" spans="1:6" ht="12.75" customHeight="1" x14ac:dyDescent="0.25">
      <c r="A378" s="2"/>
      <c r="B378" s="2"/>
      <c r="C378" s="2"/>
      <c r="D378" s="2"/>
      <c r="E378" s="2"/>
      <c r="F378" s="2"/>
    </row>
    <row r="379" spans="1:6" ht="12.75" customHeight="1" x14ac:dyDescent="0.25">
      <c r="A379" s="2"/>
      <c r="B379" s="2"/>
      <c r="C379" s="2"/>
      <c r="D379" s="2"/>
      <c r="E379" s="2"/>
      <c r="F379" s="2"/>
    </row>
    <row r="380" spans="1:6" ht="12.75" customHeight="1" x14ac:dyDescent="0.25">
      <c r="A380" s="2"/>
      <c r="B380" s="2"/>
      <c r="C380" s="2"/>
      <c r="D380" s="2"/>
      <c r="E380" s="2"/>
      <c r="F380" s="2"/>
    </row>
    <row r="381" spans="1:6" ht="12.75" customHeight="1" x14ac:dyDescent="0.25">
      <c r="A381" s="2"/>
      <c r="B381" s="2"/>
      <c r="C381" s="2"/>
      <c r="D381" s="2"/>
      <c r="E381" s="2"/>
      <c r="F381" s="2"/>
    </row>
    <row r="382" spans="1:6" ht="12.75" customHeight="1" x14ac:dyDescent="0.25">
      <c r="A382" s="2"/>
      <c r="B382" s="2"/>
      <c r="C382" s="2"/>
      <c r="D382" s="2"/>
      <c r="E382" s="2"/>
      <c r="F382" s="2"/>
    </row>
    <row r="383" spans="1:6" ht="12.75" customHeight="1" x14ac:dyDescent="0.25">
      <c r="A383" s="2"/>
      <c r="B383" s="2"/>
      <c r="C383" s="2"/>
      <c r="D383" s="2"/>
      <c r="E383" s="2"/>
      <c r="F383" s="2"/>
    </row>
    <row r="384" spans="1:6" ht="12.75" customHeight="1" x14ac:dyDescent="0.25">
      <c r="A384" s="2"/>
      <c r="B384" s="2"/>
      <c r="C384" s="2"/>
      <c r="D384" s="2"/>
      <c r="E384" s="2"/>
      <c r="F384" s="2"/>
    </row>
    <row r="385" spans="1:6" ht="12.75" customHeight="1" x14ac:dyDescent="0.25">
      <c r="A385" s="2"/>
      <c r="B385" s="2"/>
      <c r="C385" s="2"/>
      <c r="D385" s="2"/>
      <c r="E385" s="2"/>
      <c r="F385" s="2"/>
    </row>
    <row r="386" spans="1:6" ht="12.75" customHeight="1" x14ac:dyDescent="0.25">
      <c r="A386" s="2"/>
      <c r="B386" s="2"/>
      <c r="C386" s="2"/>
      <c r="D386" s="2"/>
      <c r="E386" s="2"/>
      <c r="F386" s="2"/>
    </row>
    <row r="387" spans="1:6" ht="12.75" customHeight="1" x14ac:dyDescent="0.25">
      <c r="A387" s="2"/>
      <c r="B387" s="2"/>
      <c r="C387" s="2"/>
      <c r="D387" s="2"/>
      <c r="E387" s="2"/>
      <c r="F387" s="2"/>
    </row>
    <row r="388" spans="1:6" ht="12.75" customHeight="1" x14ac:dyDescent="0.25">
      <c r="A388" s="2"/>
      <c r="B388" s="2"/>
      <c r="C388" s="2"/>
      <c r="D388" s="2"/>
      <c r="E388" s="2"/>
      <c r="F388" s="2"/>
    </row>
    <row r="389" spans="1:6" ht="12.75" customHeight="1" x14ac:dyDescent="0.25">
      <c r="A389" s="2"/>
      <c r="B389" s="2"/>
      <c r="C389" s="2"/>
      <c r="D389" s="2"/>
      <c r="E389" s="2"/>
      <c r="F389" s="2"/>
    </row>
    <row r="390" spans="1:6" ht="12.75" customHeight="1" x14ac:dyDescent="0.25">
      <c r="A390" s="2"/>
      <c r="B390" s="2"/>
      <c r="C390" s="2"/>
      <c r="D390" s="2"/>
      <c r="E390" s="2"/>
      <c r="F390" s="2"/>
    </row>
    <row r="391" spans="1:6" ht="12.75" customHeight="1" x14ac:dyDescent="0.25">
      <c r="A391" s="2"/>
      <c r="B391" s="2"/>
      <c r="C391" s="2"/>
      <c r="D391" s="2"/>
      <c r="E391" s="2"/>
      <c r="F391" s="2"/>
    </row>
    <row r="392" spans="1:6" ht="12.75" customHeight="1" x14ac:dyDescent="0.25">
      <c r="A392" s="2"/>
      <c r="B392" s="2"/>
      <c r="C392" s="2"/>
      <c r="D392" s="2"/>
      <c r="E392" s="2"/>
      <c r="F392" s="2"/>
    </row>
    <row r="393" spans="1:6" ht="12.75" customHeight="1" x14ac:dyDescent="0.25">
      <c r="A393" s="2"/>
      <c r="B393" s="2"/>
      <c r="C393" s="2"/>
      <c r="D393" s="2"/>
      <c r="E393" s="2"/>
      <c r="F393" s="2"/>
    </row>
    <row r="394" spans="1:6" ht="12.75" customHeight="1" x14ac:dyDescent="0.25">
      <c r="A394" s="2"/>
      <c r="B394" s="2"/>
      <c r="C394" s="2"/>
      <c r="D394" s="2"/>
      <c r="E394" s="2"/>
      <c r="F394" s="2"/>
    </row>
    <row r="395" spans="1:6" ht="12.75" customHeight="1" x14ac:dyDescent="0.25">
      <c r="A395" s="2"/>
      <c r="B395" s="2"/>
      <c r="C395" s="2"/>
      <c r="D395" s="2"/>
      <c r="E395" s="2"/>
      <c r="F395" s="2"/>
    </row>
    <row r="396" spans="1:6" ht="12.75" customHeight="1" x14ac:dyDescent="0.25">
      <c r="A396" s="2"/>
      <c r="B396" s="2"/>
      <c r="C396" s="2"/>
      <c r="D396" s="2"/>
      <c r="E396" s="2"/>
      <c r="F396" s="2"/>
    </row>
    <row r="397" spans="1:6" ht="12.75" customHeight="1" x14ac:dyDescent="0.25">
      <c r="A397" s="2"/>
      <c r="B397" s="2"/>
      <c r="C397" s="2"/>
      <c r="D397" s="2"/>
      <c r="E397" s="2"/>
      <c r="F397" s="2"/>
    </row>
    <row r="398" spans="1:6" ht="12.75" customHeight="1" x14ac:dyDescent="0.25">
      <c r="A398" s="2"/>
      <c r="B398" s="2"/>
      <c r="C398" s="2"/>
      <c r="D398" s="2"/>
      <c r="E398" s="2"/>
      <c r="F398" s="2"/>
    </row>
    <row r="399" spans="1:6" ht="12.75" customHeight="1" x14ac:dyDescent="0.25">
      <c r="A399" s="2"/>
      <c r="B399" s="2"/>
      <c r="C399" s="2"/>
      <c r="D399" s="2"/>
      <c r="E399" s="2"/>
      <c r="F399" s="2"/>
    </row>
    <row r="400" spans="1:6" ht="12.75" customHeight="1" x14ac:dyDescent="0.25">
      <c r="A400" s="2"/>
      <c r="B400" s="2"/>
      <c r="C400" s="2"/>
      <c r="D400" s="2"/>
      <c r="E400" s="2"/>
      <c r="F400" s="2"/>
    </row>
    <row r="401" spans="1:6" ht="12.75" customHeight="1" x14ac:dyDescent="0.25">
      <c r="A401" s="2"/>
      <c r="B401" s="2"/>
      <c r="C401" s="2"/>
      <c r="D401" s="2"/>
      <c r="E401" s="2"/>
      <c r="F401" s="2"/>
    </row>
    <row r="402" spans="1:6" ht="12.75" customHeight="1" x14ac:dyDescent="0.25">
      <c r="A402" s="2"/>
      <c r="B402" s="2"/>
      <c r="C402" s="2"/>
      <c r="D402" s="2"/>
      <c r="E402" s="2"/>
      <c r="F402" s="2"/>
    </row>
    <row r="403" spans="1:6" ht="12.75" customHeight="1" x14ac:dyDescent="0.25">
      <c r="A403" s="2"/>
      <c r="B403" s="2"/>
      <c r="C403" s="2"/>
      <c r="D403" s="2"/>
      <c r="E403" s="2"/>
      <c r="F403" s="2"/>
    </row>
    <row r="404" spans="1:6" ht="12.75" customHeight="1" x14ac:dyDescent="0.25">
      <c r="A404" s="2"/>
      <c r="B404" s="2"/>
      <c r="C404" s="2"/>
      <c r="D404" s="2"/>
      <c r="E404" s="2"/>
      <c r="F404" s="2"/>
    </row>
    <row r="405" spans="1:6" ht="12.75" customHeight="1" x14ac:dyDescent="0.25">
      <c r="A405" s="2"/>
      <c r="B405" s="2"/>
      <c r="C405" s="2"/>
      <c r="D405" s="2"/>
      <c r="E405" s="2"/>
      <c r="F405" s="2"/>
    </row>
    <row r="406" spans="1:6" ht="12.75" customHeight="1" x14ac:dyDescent="0.25">
      <c r="A406" s="2"/>
      <c r="B406" s="2"/>
      <c r="C406" s="2"/>
      <c r="D406" s="2"/>
      <c r="E406" s="2"/>
      <c r="F406" s="2"/>
    </row>
    <row r="407" spans="1:6" ht="12.75" customHeight="1" x14ac:dyDescent="0.25">
      <c r="A407" s="2"/>
      <c r="B407" s="2"/>
      <c r="C407" s="2"/>
      <c r="D407" s="2"/>
      <c r="E407" s="2"/>
      <c r="F407" s="2"/>
    </row>
    <row r="408" spans="1:6" ht="12.75" customHeight="1" x14ac:dyDescent="0.25">
      <c r="A408" s="2"/>
      <c r="B408" s="2"/>
      <c r="C408" s="2"/>
      <c r="D408" s="2"/>
      <c r="E408" s="2"/>
      <c r="F408" s="2"/>
    </row>
    <row r="409" spans="1:6" ht="12.75" customHeight="1" x14ac:dyDescent="0.25">
      <c r="A409" s="2"/>
      <c r="B409" s="2"/>
      <c r="C409" s="2"/>
      <c r="D409" s="2"/>
      <c r="E409" s="2"/>
      <c r="F409" s="2"/>
    </row>
    <row r="410" spans="1:6" ht="12.75" customHeight="1" x14ac:dyDescent="0.25">
      <c r="A410" s="2"/>
      <c r="B410" s="2"/>
      <c r="C410" s="2"/>
      <c r="D410" s="2"/>
      <c r="E410" s="2"/>
      <c r="F410" s="2"/>
    </row>
    <row r="411" spans="1:6" ht="12.75" customHeight="1" x14ac:dyDescent="0.25">
      <c r="A411" s="2"/>
      <c r="B411" s="2"/>
      <c r="C411" s="2"/>
      <c r="D411" s="2"/>
      <c r="E411" s="2"/>
      <c r="F411" s="2"/>
    </row>
    <row r="412" spans="1:6" ht="12.75" customHeight="1" x14ac:dyDescent="0.25">
      <c r="A412" s="2"/>
      <c r="B412" s="2"/>
      <c r="C412" s="2"/>
      <c r="D412" s="2"/>
      <c r="E412" s="2"/>
      <c r="F412" s="2"/>
    </row>
    <row r="413" spans="1:6" ht="12.75" customHeight="1" x14ac:dyDescent="0.25">
      <c r="A413" s="2"/>
      <c r="B413" s="2"/>
      <c r="C413" s="2"/>
      <c r="D413" s="2"/>
      <c r="E413" s="2"/>
      <c r="F413" s="2"/>
    </row>
    <row r="414" spans="1:6" ht="12.75" customHeight="1" x14ac:dyDescent="0.25">
      <c r="A414" s="2"/>
      <c r="B414" s="2"/>
      <c r="C414" s="2"/>
      <c r="D414" s="2"/>
      <c r="E414" s="2"/>
      <c r="F414" s="2"/>
    </row>
    <row r="415" spans="1:6" ht="12.75" customHeight="1" x14ac:dyDescent="0.25">
      <c r="A415" s="2"/>
      <c r="B415" s="2"/>
      <c r="C415" s="2"/>
      <c r="D415" s="2"/>
      <c r="E415" s="2"/>
      <c r="F415" s="2"/>
    </row>
    <row r="416" spans="1:6" ht="12.75" customHeight="1" x14ac:dyDescent="0.25">
      <c r="A416" s="2"/>
      <c r="B416" s="2"/>
      <c r="C416" s="2"/>
      <c r="D416" s="2"/>
      <c r="E416" s="2"/>
      <c r="F416" s="2"/>
    </row>
    <row r="417" spans="1:6" ht="12.75" customHeight="1" x14ac:dyDescent="0.25">
      <c r="A417" s="2"/>
      <c r="B417" s="2"/>
      <c r="C417" s="2"/>
      <c r="D417" s="2"/>
      <c r="E417" s="2"/>
      <c r="F417" s="2"/>
    </row>
    <row r="418" spans="1:6" ht="12.75" customHeight="1" x14ac:dyDescent="0.25">
      <c r="A418" s="2"/>
      <c r="B418" s="2"/>
      <c r="C418" s="2"/>
      <c r="D418" s="2"/>
      <c r="E418" s="2"/>
      <c r="F418" s="2"/>
    </row>
    <row r="419" spans="1:6" ht="12.75" customHeight="1" x14ac:dyDescent="0.25">
      <c r="A419" s="2"/>
      <c r="B419" s="2"/>
      <c r="C419" s="2"/>
      <c r="D419" s="2"/>
      <c r="E419" s="2"/>
      <c r="F419" s="2"/>
    </row>
    <row r="420" spans="1:6" ht="12.75" customHeight="1" x14ac:dyDescent="0.25">
      <c r="A420" s="2"/>
      <c r="B420" s="2"/>
      <c r="C420" s="2"/>
      <c r="D420" s="2"/>
      <c r="E420" s="2"/>
      <c r="F420" s="2"/>
    </row>
    <row r="421" spans="1:6" ht="12.75" customHeight="1" x14ac:dyDescent="0.25">
      <c r="A421" s="2"/>
      <c r="B421" s="2"/>
      <c r="C421" s="2"/>
      <c r="D421" s="2"/>
      <c r="E421" s="2"/>
      <c r="F421" s="2"/>
    </row>
    <row r="422" spans="1:6" ht="12.75" customHeight="1" x14ac:dyDescent="0.25">
      <c r="A422" s="2"/>
      <c r="B422" s="2"/>
      <c r="C422" s="2"/>
      <c r="D422" s="2"/>
      <c r="E422" s="2"/>
      <c r="F422" s="2"/>
    </row>
    <row r="423" spans="1:6" ht="12.75" customHeight="1" x14ac:dyDescent="0.25">
      <c r="A423" s="2"/>
      <c r="B423" s="2"/>
      <c r="C423" s="2"/>
      <c r="D423" s="2"/>
      <c r="E423" s="2"/>
      <c r="F423" s="2"/>
    </row>
    <row r="424" spans="1:6" ht="12.75" customHeight="1" x14ac:dyDescent="0.25">
      <c r="A424" s="2"/>
      <c r="B424" s="2"/>
      <c r="C424" s="2"/>
      <c r="D424" s="2"/>
      <c r="E424" s="2"/>
      <c r="F424" s="2"/>
    </row>
    <row r="425" spans="1:6" ht="12.75" customHeight="1" x14ac:dyDescent="0.25">
      <c r="A425" s="2"/>
      <c r="B425" s="2"/>
      <c r="C425" s="2"/>
      <c r="D425" s="2"/>
      <c r="E425" s="2"/>
      <c r="F425" s="2"/>
    </row>
    <row r="426" spans="1:6" ht="12.75" customHeight="1" x14ac:dyDescent="0.25">
      <c r="A426" s="2"/>
      <c r="B426" s="2"/>
      <c r="C426" s="2"/>
      <c r="D426" s="2"/>
      <c r="E426" s="2"/>
      <c r="F426" s="2"/>
    </row>
    <row r="427" spans="1:6" ht="12.75" customHeight="1" x14ac:dyDescent="0.25">
      <c r="A427" s="2"/>
      <c r="B427" s="2"/>
      <c r="C427" s="2"/>
      <c r="D427" s="2"/>
      <c r="E427" s="2"/>
      <c r="F427" s="2"/>
    </row>
    <row r="428" spans="1:6" ht="12.75" customHeight="1" x14ac:dyDescent="0.25">
      <c r="A428" s="2"/>
      <c r="B428" s="2"/>
      <c r="C428" s="2"/>
      <c r="D428" s="2"/>
      <c r="E428" s="2"/>
      <c r="F428" s="2"/>
    </row>
    <row r="429" spans="1:6" ht="12.75" customHeight="1" x14ac:dyDescent="0.25">
      <c r="A429" s="2"/>
      <c r="B429" s="2"/>
      <c r="C429" s="2"/>
      <c r="D429" s="2"/>
      <c r="E429" s="2"/>
      <c r="F429" s="2"/>
    </row>
    <row r="430" spans="1:6" ht="12.75" customHeight="1" x14ac:dyDescent="0.25">
      <c r="A430" s="2"/>
      <c r="B430" s="2"/>
      <c r="C430" s="2"/>
      <c r="D430" s="2"/>
      <c r="E430" s="2"/>
      <c r="F430" s="2"/>
    </row>
    <row r="431" spans="1:6" ht="12.75" customHeight="1" x14ac:dyDescent="0.25">
      <c r="A431" s="2"/>
      <c r="B431" s="2"/>
      <c r="C431" s="2"/>
      <c r="D431" s="2"/>
      <c r="E431" s="2"/>
      <c r="F431" s="2"/>
    </row>
    <row r="432" spans="1:6" ht="12.75" customHeight="1" x14ac:dyDescent="0.25">
      <c r="A432" s="2"/>
      <c r="B432" s="2"/>
      <c r="C432" s="2"/>
      <c r="D432" s="2"/>
      <c r="E432" s="2"/>
      <c r="F432" s="2"/>
    </row>
    <row r="433" spans="1:6" ht="12.75" customHeight="1" x14ac:dyDescent="0.25">
      <c r="A433" s="2"/>
      <c r="B433" s="2"/>
      <c r="C433" s="2"/>
      <c r="D433" s="2"/>
      <c r="E433" s="2"/>
      <c r="F433" s="2"/>
    </row>
    <row r="434" spans="1:6" ht="12.75" customHeight="1" x14ac:dyDescent="0.25">
      <c r="A434" s="2"/>
      <c r="B434" s="2"/>
      <c r="C434" s="2"/>
      <c r="D434" s="2"/>
      <c r="E434" s="2"/>
      <c r="F434" s="2"/>
    </row>
    <row r="435" spans="1:6" ht="12.75" customHeight="1" x14ac:dyDescent="0.25">
      <c r="A435" s="2"/>
      <c r="B435" s="2"/>
      <c r="C435" s="2"/>
      <c r="D435" s="2"/>
      <c r="E435" s="2"/>
      <c r="F435" s="2"/>
    </row>
    <row r="436" spans="1:6" ht="12.75" customHeight="1" x14ac:dyDescent="0.25">
      <c r="A436" s="2"/>
      <c r="B436" s="2"/>
      <c r="C436" s="2"/>
      <c r="D436" s="2"/>
      <c r="E436" s="2"/>
      <c r="F436" s="2"/>
    </row>
    <row r="437" spans="1:6" ht="12.75" customHeight="1" x14ac:dyDescent="0.25">
      <c r="A437" s="2"/>
      <c r="B437" s="2"/>
      <c r="C437" s="2"/>
      <c r="D437" s="2"/>
      <c r="E437" s="2"/>
      <c r="F437" s="2"/>
    </row>
    <row r="438" spans="1:6" ht="12.75" customHeight="1" x14ac:dyDescent="0.25">
      <c r="A438" s="2"/>
      <c r="B438" s="2"/>
      <c r="C438" s="2"/>
      <c r="D438" s="2"/>
      <c r="E438" s="2"/>
      <c r="F438" s="2"/>
    </row>
    <row r="439" spans="1:6" ht="12.75" customHeight="1" x14ac:dyDescent="0.25">
      <c r="A439" s="2"/>
      <c r="B439" s="2"/>
      <c r="C439" s="2"/>
      <c r="D439" s="2"/>
      <c r="E439" s="2"/>
      <c r="F439" s="2"/>
    </row>
    <row r="440" spans="1:6" ht="12.75" customHeight="1" x14ac:dyDescent="0.25">
      <c r="A440" s="2"/>
      <c r="B440" s="2"/>
      <c r="C440" s="2"/>
      <c r="D440" s="2"/>
      <c r="E440" s="2"/>
      <c r="F440" s="2"/>
    </row>
    <row r="441" spans="1:6" ht="12.75" customHeight="1" x14ac:dyDescent="0.25">
      <c r="A441" s="2"/>
      <c r="B441" s="2"/>
      <c r="C441" s="2"/>
      <c r="D441" s="2"/>
      <c r="E441" s="2"/>
      <c r="F441" s="2"/>
    </row>
    <row r="442" spans="1:6" ht="12.75" customHeight="1" x14ac:dyDescent="0.25">
      <c r="A442" s="2"/>
      <c r="B442" s="2"/>
      <c r="C442" s="2"/>
      <c r="D442" s="2"/>
      <c r="E442" s="2"/>
      <c r="F442" s="2"/>
    </row>
    <row r="443" spans="1:6" ht="12.75" customHeight="1" x14ac:dyDescent="0.25">
      <c r="A443" s="2"/>
      <c r="B443" s="2"/>
      <c r="C443" s="2"/>
      <c r="D443" s="2"/>
      <c r="E443" s="2"/>
      <c r="F443" s="2"/>
    </row>
    <row r="444" spans="1:6" ht="12.75" customHeight="1" x14ac:dyDescent="0.25">
      <c r="A444" s="2"/>
      <c r="B444" s="2"/>
      <c r="C444" s="2"/>
      <c r="D444" s="2"/>
      <c r="E444" s="2"/>
      <c r="F444" s="2"/>
    </row>
    <row r="445" spans="1:6" ht="12.75" customHeight="1" x14ac:dyDescent="0.25">
      <c r="A445" s="2"/>
      <c r="B445" s="2"/>
      <c r="C445" s="2"/>
      <c r="D445" s="2"/>
      <c r="E445" s="2"/>
      <c r="F445" s="2"/>
    </row>
    <row r="446" spans="1:6" ht="12.75" customHeight="1" x14ac:dyDescent="0.25">
      <c r="A446" s="2"/>
      <c r="B446" s="2"/>
      <c r="C446" s="2"/>
      <c r="D446" s="2"/>
      <c r="E446" s="2"/>
      <c r="F446" s="2"/>
    </row>
    <row r="447" spans="1:6" ht="12.75" customHeight="1" x14ac:dyDescent="0.25">
      <c r="A447" s="2"/>
      <c r="B447" s="2"/>
      <c r="C447" s="2"/>
      <c r="D447" s="2"/>
      <c r="E447" s="2"/>
      <c r="F447" s="2"/>
    </row>
    <row r="448" spans="1:6" ht="12.75" customHeight="1" x14ac:dyDescent="0.25">
      <c r="A448" s="2"/>
      <c r="B448" s="2"/>
      <c r="C448" s="2"/>
      <c r="D448" s="2"/>
      <c r="E448" s="2"/>
      <c r="F448" s="2"/>
    </row>
    <row r="449" spans="1:6" ht="12.75" customHeight="1" x14ac:dyDescent="0.25">
      <c r="A449" s="2"/>
      <c r="B449" s="2"/>
      <c r="C449" s="2"/>
      <c r="D449" s="2"/>
      <c r="E449" s="2"/>
      <c r="F449" s="2"/>
    </row>
    <row r="450" spans="1:6" ht="12.75" customHeight="1" x14ac:dyDescent="0.25">
      <c r="A450" s="2"/>
      <c r="B450" s="2"/>
      <c r="C450" s="2"/>
      <c r="D450" s="2"/>
      <c r="E450" s="2"/>
      <c r="F450" s="2"/>
    </row>
    <row r="451" spans="1:6" ht="12.75" customHeight="1" x14ac:dyDescent="0.25">
      <c r="A451" s="2"/>
      <c r="B451" s="2"/>
      <c r="C451" s="2"/>
      <c r="D451" s="2"/>
      <c r="E451" s="2"/>
      <c r="F451" s="2"/>
    </row>
    <row r="452" spans="1:6" ht="12.75" customHeight="1" x14ac:dyDescent="0.25">
      <c r="A452" s="2"/>
      <c r="B452" s="2"/>
      <c r="C452" s="2"/>
      <c r="D452" s="2"/>
      <c r="E452" s="2"/>
      <c r="F452" s="2"/>
    </row>
    <row r="453" spans="1:6" ht="12.75" customHeight="1" x14ac:dyDescent="0.25">
      <c r="A453" s="2"/>
      <c r="B453" s="2"/>
      <c r="C453" s="2"/>
      <c r="D453" s="2"/>
      <c r="E453" s="2"/>
      <c r="F453" s="2"/>
    </row>
    <row r="454" spans="1:6" ht="12.75" customHeight="1" x14ac:dyDescent="0.25">
      <c r="A454" s="2"/>
      <c r="B454" s="2"/>
      <c r="C454" s="2"/>
      <c r="D454" s="2"/>
      <c r="E454" s="2"/>
      <c r="F454" s="2"/>
    </row>
    <row r="455" spans="1:6" ht="12.75" customHeight="1" x14ac:dyDescent="0.25">
      <c r="A455" s="2"/>
      <c r="B455" s="2"/>
      <c r="C455" s="2"/>
      <c r="D455" s="2"/>
      <c r="E455" s="2"/>
      <c r="F455" s="2"/>
    </row>
    <row r="456" spans="1:6" ht="12.75" customHeight="1" x14ac:dyDescent="0.25">
      <c r="A456" s="2"/>
      <c r="B456" s="2"/>
      <c r="C456" s="2"/>
      <c r="D456" s="2"/>
      <c r="E456" s="2"/>
      <c r="F456" s="2"/>
    </row>
    <row r="457" spans="1:6" ht="12.75" customHeight="1" x14ac:dyDescent="0.25">
      <c r="A457" s="2"/>
      <c r="B457" s="2"/>
      <c r="C457" s="2"/>
      <c r="D457" s="2"/>
      <c r="E457" s="2"/>
      <c r="F457" s="2"/>
    </row>
    <row r="458" spans="1:6" ht="12.75" customHeight="1" x14ac:dyDescent="0.25">
      <c r="A458" s="2"/>
      <c r="B458" s="2"/>
      <c r="C458" s="2"/>
      <c r="D458" s="2"/>
      <c r="E458" s="2"/>
      <c r="F458" s="2"/>
    </row>
    <row r="459" spans="1:6" ht="12.75" customHeight="1" x14ac:dyDescent="0.25">
      <c r="A459" s="2"/>
      <c r="B459" s="2"/>
      <c r="C459" s="2"/>
      <c r="D459" s="2"/>
      <c r="E459" s="2"/>
      <c r="F459" s="2"/>
    </row>
    <row r="460" spans="1:6" ht="12.75" customHeight="1" x14ac:dyDescent="0.25">
      <c r="A460" s="2"/>
      <c r="B460" s="2"/>
      <c r="C460" s="2"/>
      <c r="D460" s="2"/>
      <c r="E460" s="2"/>
      <c r="F460" s="2"/>
    </row>
    <row r="461" spans="1:6" ht="12.75" customHeight="1" x14ac:dyDescent="0.25">
      <c r="A461" s="2"/>
      <c r="B461" s="2"/>
      <c r="C461" s="2"/>
      <c r="D461" s="2"/>
      <c r="E461" s="2"/>
      <c r="F461" s="2"/>
    </row>
    <row r="462" spans="1:6" ht="12.75" customHeight="1" x14ac:dyDescent="0.25">
      <c r="A462" s="2"/>
      <c r="B462" s="2"/>
      <c r="C462" s="2"/>
      <c r="D462" s="2"/>
      <c r="E462" s="2"/>
      <c r="F462" s="2"/>
    </row>
    <row r="463" spans="1:6" ht="12.75" customHeight="1" x14ac:dyDescent="0.25">
      <c r="A463" s="2"/>
      <c r="B463" s="2"/>
      <c r="C463" s="2"/>
      <c r="D463" s="2"/>
      <c r="E463" s="2"/>
      <c r="F463" s="2"/>
    </row>
    <row r="464" spans="1:6" ht="12.75" customHeight="1" x14ac:dyDescent="0.25">
      <c r="A464" s="2"/>
      <c r="B464" s="2"/>
      <c r="C464" s="2"/>
      <c r="D464" s="2"/>
      <c r="E464" s="2"/>
      <c r="F464" s="2"/>
    </row>
    <row r="465" spans="1:6" ht="12.75" customHeight="1" x14ac:dyDescent="0.25">
      <c r="A465" s="2"/>
      <c r="B465" s="2"/>
      <c r="C465" s="2"/>
      <c r="D465" s="2"/>
      <c r="E465" s="2"/>
      <c r="F465" s="2"/>
    </row>
    <row r="466" spans="1:6" ht="12.75" customHeight="1" x14ac:dyDescent="0.25">
      <c r="A466" s="2"/>
      <c r="B466" s="2"/>
      <c r="C466" s="2"/>
      <c r="D466" s="2"/>
      <c r="E466" s="2"/>
      <c r="F466" s="2"/>
    </row>
    <row r="467" spans="1:6" ht="12.75" customHeight="1" x14ac:dyDescent="0.25">
      <c r="A467" s="2"/>
      <c r="B467" s="2"/>
      <c r="C467" s="2"/>
      <c r="D467" s="2"/>
      <c r="E467" s="2"/>
      <c r="F467" s="2"/>
    </row>
    <row r="468" spans="1:6" ht="12.75" customHeight="1" x14ac:dyDescent="0.25">
      <c r="A468" s="2"/>
      <c r="B468" s="2"/>
      <c r="C468" s="2"/>
      <c r="D468" s="2"/>
      <c r="E468" s="2"/>
      <c r="F468" s="2"/>
    </row>
    <row r="469" spans="1:6" ht="12.75" customHeight="1" x14ac:dyDescent="0.25">
      <c r="A469" s="2"/>
      <c r="B469" s="2"/>
      <c r="C469" s="2"/>
      <c r="D469" s="2"/>
      <c r="E469" s="2"/>
      <c r="F469" s="2"/>
    </row>
    <row r="470" spans="1:6" ht="12.75" customHeight="1" x14ac:dyDescent="0.25">
      <c r="A470" s="2"/>
      <c r="B470" s="2"/>
      <c r="C470" s="2"/>
      <c r="D470" s="2"/>
      <c r="E470" s="2"/>
      <c r="F470" s="2"/>
    </row>
    <row r="471" spans="1:6" ht="12.75" customHeight="1" x14ac:dyDescent="0.25">
      <c r="A471" s="2"/>
      <c r="B471" s="2"/>
      <c r="C471" s="2"/>
      <c r="D471" s="2"/>
      <c r="E471" s="2"/>
      <c r="F471" s="2"/>
    </row>
    <row r="472" spans="1:6" ht="12.75" customHeight="1" x14ac:dyDescent="0.25">
      <c r="A472" s="2"/>
      <c r="B472" s="2"/>
      <c r="C472" s="2"/>
      <c r="D472" s="2"/>
      <c r="E472" s="2"/>
      <c r="F472" s="2"/>
    </row>
    <row r="473" spans="1:6" ht="12.75" customHeight="1" x14ac:dyDescent="0.25">
      <c r="A473" s="2"/>
      <c r="B473" s="2"/>
      <c r="C473" s="2"/>
      <c r="D473" s="2"/>
      <c r="E473" s="2"/>
      <c r="F473" s="2"/>
    </row>
    <row r="474" spans="1:6" ht="12.75" customHeight="1" x14ac:dyDescent="0.25">
      <c r="A474" s="2"/>
      <c r="B474" s="2"/>
      <c r="C474" s="2"/>
      <c r="D474" s="2"/>
      <c r="E474" s="2"/>
      <c r="F474" s="2"/>
    </row>
    <row r="475" spans="1:6" ht="12.75" customHeight="1" x14ac:dyDescent="0.25">
      <c r="A475" s="2"/>
      <c r="B475" s="2"/>
      <c r="C475" s="2"/>
      <c r="D475" s="2"/>
      <c r="E475" s="2"/>
      <c r="F475" s="2"/>
    </row>
    <row r="476" spans="1:6" ht="12.75" customHeight="1" x14ac:dyDescent="0.25">
      <c r="A476" s="2"/>
      <c r="B476" s="2"/>
      <c r="C476" s="2"/>
      <c r="D476" s="2"/>
      <c r="E476" s="2"/>
      <c r="F476" s="2"/>
    </row>
    <row r="477" spans="1:6" ht="12.75" customHeight="1" x14ac:dyDescent="0.25">
      <c r="A477" s="2"/>
      <c r="B477" s="2"/>
      <c r="C477" s="2"/>
      <c r="D477" s="2"/>
      <c r="E477" s="2"/>
      <c r="F477" s="2"/>
    </row>
    <row r="478" spans="1:6" ht="12.75" customHeight="1" x14ac:dyDescent="0.25">
      <c r="A478" s="2"/>
      <c r="B478" s="2"/>
      <c r="C478" s="2"/>
      <c r="D478" s="2"/>
      <c r="E478" s="2"/>
      <c r="F478" s="2"/>
    </row>
    <row r="479" spans="1:6" ht="12.75" customHeight="1" x14ac:dyDescent="0.25">
      <c r="A479" s="2"/>
      <c r="B479" s="2"/>
      <c r="C479" s="2"/>
      <c r="D479" s="2"/>
      <c r="E479" s="2"/>
      <c r="F479" s="2"/>
    </row>
    <row r="480" spans="1:6" ht="12.75" customHeight="1" x14ac:dyDescent="0.25">
      <c r="A480" s="2"/>
      <c r="B480" s="2"/>
      <c r="C480" s="2"/>
      <c r="D480" s="2"/>
      <c r="E480" s="2"/>
      <c r="F480" s="2"/>
    </row>
    <row r="481" spans="1:6" ht="12.75" customHeight="1" x14ac:dyDescent="0.25">
      <c r="A481" s="2"/>
      <c r="B481" s="2"/>
      <c r="C481" s="2"/>
      <c r="D481" s="2"/>
      <c r="E481" s="2"/>
      <c r="F481" s="2"/>
    </row>
    <row r="482" spans="1:6" ht="12.75" customHeight="1" x14ac:dyDescent="0.25">
      <c r="A482" s="2"/>
      <c r="B482" s="2"/>
      <c r="C482" s="2"/>
      <c r="D482" s="2"/>
      <c r="E482" s="2"/>
      <c r="F482" s="2"/>
    </row>
    <row r="483" spans="1:6" ht="12.75" customHeight="1" x14ac:dyDescent="0.25">
      <c r="A483" s="2"/>
      <c r="B483" s="2"/>
      <c r="C483" s="2"/>
      <c r="D483" s="2"/>
      <c r="E483" s="2"/>
      <c r="F483" s="2"/>
    </row>
    <row r="484" spans="1:6" ht="12.75" customHeight="1" x14ac:dyDescent="0.25">
      <c r="A484" s="2"/>
      <c r="B484" s="2"/>
      <c r="C484" s="2"/>
      <c r="D484" s="2"/>
      <c r="E484" s="2"/>
      <c r="F484" s="2"/>
    </row>
    <row r="485" spans="1:6" ht="12.75" customHeight="1" x14ac:dyDescent="0.25">
      <c r="A485" s="2"/>
      <c r="B485" s="2"/>
      <c r="C485" s="2"/>
      <c r="D485" s="2"/>
      <c r="E485" s="2"/>
      <c r="F485" s="2"/>
    </row>
    <row r="486" spans="1:6" ht="12.75" customHeight="1" x14ac:dyDescent="0.25">
      <c r="A486" s="2"/>
      <c r="B486" s="2"/>
      <c r="C486" s="2"/>
      <c r="D486" s="2"/>
      <c r="E486" s="2"/>
      <c r="F486" s="2"/>
    </row>
    <row r="487" spans="1:6" ht="12.75" customHeight="1" x14ac:dyDescent="0.25">
      <c r="A487" s="2"/>
      <c r="B487" s="2"/>
      <c r="C487" s="2"/>
      <c r="D487" s="2"/>
      <c r="E487" s="2"/>
      <c r="F487" s="2"/>
    </row>
    <row r="488" spans="1:6" ht="12.75" customHeight="1" x14ac:dyDescent="0.25">
      <c r="A488" s="2"/>
      <c r="B488" s="2"/>
      <c r="C488" s="2"/>
      <c r="D488" s="2"/>
      <c r="E488" s="2"/>
      <c r="F488" s="2"/>
    </row>
    <row r="489" spans="1:6" ht="12.75" customHeight="1" x14ac:dyDescent="0.25">
      <c r="A489" s="2"/>
      <c r="B489" s="2"/>
      <c r="C489" s="2"/>
      <c r="D489" s="2"/>
      <c r="E489" s="2"/>
      <c r="F489" s="2"/>
    </row>
    <row r="490" spans="1:6" ht="12.75" customHeight="1" x14ac:dyDescent="0.25">
      <c r="A490" s="2"/>
      <c r="B490" s="2"/>
      <c r="C490" s="2"/>
      <c r="D490" s="2"/>
      <c r="E490" s="2"/>
      <c r="F490" s="2"/>
    </row>
    <row r="491" spans="1:6" ht="12.75" customHeight="1" x14ac:dyDescent="0.25">
      <c r="A491" s="2"/>
      <c r="B491" s="2"/>
      <c r="C491" s="2"/>
      <c r="D491" s="2"/>
      <c r="E491" s="2"/>
      <c r="F491" s="2"/>
    </row>
    <row r="492" spans="1:6" ht="12.75" customHeight="1" x14ac:dyDescent="0.25">
      <c r="A492" s="2"/>
      <c r="B492" s="2"/>
      <c r="C492" s="2"/>
      <c r="D492" s="2"/>
      <c r="E492" s="2"/>
      <c r="F492" s="2"/>
    </row>
    <row r="493" spans="1:6" ht="12.75" customHeight="1" x14ac:dyDescent="0.25">
      <c r="A493" s="2"/>
      <c r="B493" s="2"/>
      <c r="C493" s="2"/>
      <c r="D493" s="2"/>
      <c r="E493" s="2"/>
      <c r="F493" s="2"/>
    </row>
    <row r="494" spans="1:6" ht="12.75" customHeight="1" x14ac:dyDescent="0.25">
      <c r="A494" s="2"/>
      <c r="B494" s="2"/>
      <c r="C494" s="2"/>
      <c r="D494" s="2"/>
      <c r="E494" s="2"/>
      <c r="F494" s="2"/>
    </row>
    <row r="495" spans="1:6" ht="12.75" customHeight="1" x14ac:dyDescent="0.25">
      <c r="A495" s="2"/>
      <c r="B495" s="2"/>
      <c r="C495" s="2"/>
      <c r="D495" s="2"/>
      <c r="E495" s="2"/>
      <c r="F495" s="2"/>
    </row>
    <row r="496" spans="1:6" ht="12.75" customHeight="1" x14ac:dyDescent="0.25">
      <c r="A496" s="2"/>
      <c r="B496" s="2"/>
      <c r="C496" s="2"/>
      <c r="D496" s="2"/>
      <c r="E496" s="2"/>
      <c r="F496" s="2"/>
    </row>
    <row r="497" spans="1:6" ht="12.75" customHeight="1" x14ac:dyDescent="0.25">
      <c r="A497" s="2"/>
      <c r="B497" s="2"/>
      <c r="C497" s="2"/>
      <c r="D497" s="2"/>
      <c r="E497" s="2"/>
      <c r="F497" s="2"/>
    </row>
    <row r="498" spans="1:6" ht="12.75" customHeight="1" x14ac:dyDescent="0.25">
      <c r="A498" s="2"/>
      <c r="B498" s="2"/>
      <c r="C498" s="2"/>
      <c r="D498" s="2"/>
      <c r="E498" s="2"/>
      <c r="F498" s="2"/>
    </row>
    <row r="499" spans="1:6" ht="12.75" customHeight="1" x14ac:dyDescent="0.25">
      <c r="A499" s="2"/>
      <c r="B499" s="2"/>
      <c r="C499" s="2"/>
      <c r="D499" s="2"/>
      <c r="E499" s="2"/>
      <c r="F499" s="2"/>
    </row>
    <row r="500" spans="1:6" ht="12.75" customHeight="1" x14ac:dyDescent="0.25">
      <c r="A500" s="2"/>
      <c r="B500" s="2"/>
      <c r="C500" s="2"/>
      <c r="D500" s="2"/>
      <c r="E500" s="2"/>
      <c r="F500" s="2"/>
    </row>
    <row r="501" spans="1:6" ht="12.75" customHeight="1" x14ac:dyDescent="0.25">
      <c r="A501" s="2"/>
      <c r="B501" s="2"/>
      <c r="C501" s="2"/>
      <c r="D501" s="2"/>
      <c r="E501" s="2"/>
      <c r="F501" s="2"/>
    </row>
    <row r="502" spans="1:6" ht="12.75" customHeight="1" x14ac:dyDescent="0.25">
      <c r="A502" s="2"/>
      <c r="B502" s="2"/>
      <c r="C502" s="2"/>
      <c r="D502" s="2"/>
      <c r="E502" s="2"/>
      <c r="F502" s="2"/>
    </row>
    <row r="503" spans="1:6" ht="12.75" customHeight="1" x14ac:dyDescent="0.25">
      <c r="A503" s="2"/>
      <c r="B503" s="2"/>
      <c r="C503" s="2"/>
      <c r="D503" s="2"/>
      <c r="E503" s="2"/>
      <c r="F503" s="2"/>
    </row>
    <row r="504" spans="1:6" ht="12.75" customHeight="1" x14ac:dyDescent="0.25">
      <c r="A504" s="2"/>
      <c r="B504" s="2"/>
      <c r="C504" s="2"/>
      <c r="D504" s="2"/>
      <c r="E504" s="2"/>
      <c r="F504" s="2"/>
    </row>
    <row r="505" spans="1:6" ht="12.75" customHeight="1" x14ac:dyDescent="0.25">
      <c r="A505" s="2"/>
      <c r="B505" s="2"/>
      <c r="C505" s="2"/>
      <c r="D505" s="2"/>
      <c r="E505" s="2"/>
      <c r="F505" s="2"/>
    </row>
    <row r="506" spans="1:6" ht="12.75" customHeight="1" x14ac:dyDescent="0.25">
      <c r="A506" s="2"/>
      <c r="B506" s="2"/>
      <c r="C506" s="2"/>
      <c r="D506" s="2"/>
      <c r="E506" s="2"/>
      <c r="F506" s="2"/>
    </row>
    <row r="507" spans="1:6" ht="12.75" customHeight="1" x14ac:dyDescent="0.25">
      <c r="A507" s="2"/>
      <c r="B507" s="2"/>
      <c r="C507" s="2"/>
      <c r="D507" s="2"/>
      <c r="E507" s="2"/>
      <c r="F507" s="2"/>
    </row>
    <row r="508" spans="1:6" ht="12.75" customHeight="1" x14ac:dyDescent="0.25">
      <c r="A508" s="2"/>
      <c r="B508" s="2"/>
      <c r="C508" s="2"/>
      <c r="D508" s="2"/>
      <c r="E508" s="2"/>
      <c r="F508" s="2"/>
    </row>
    <row r="509" spans="1:6" ht="12.75" customHeight="1" x14ac:dyDescent="0.25">
      <c r="A509" s="2"/>
      <c r="B509" s="2"/>
      <c r="C509" s="2"/>
      <c r="D509" s="2"/>
      <c r="E509" s="2"/>
      <c r="F509" s="2"/>
    </row>
    <row r="510" spans="1:6" ht="12.75" customHeight="1" x14ac:dyDescent="0.25">
      <c r="A510" s="2"/>
      <c r="B510" s="2"/>
      <c r="C510" s="2"/>
      <c r="D510" s="2"/>
      <c r="E510" s="2"/>
      <c r="F510" s="2"/>
    </row>
    <row r="511" spans="1:6" ht="12.75" customHeight="1" x14ac:dyDescent="0.25">
      <c r="A511" s="2"/>
      <c r="B511" s="2"/>
      <c r="C511" s="2"/>
      <c r="D511" s="2"/>
      <c r="E511" s="2"/>
      <c r="F511" s="2"/>
    </row>
    <row r="512" spans="1:6" ht="12.75" customHeight="1" x14ac:dyDescent="0.25">
      <c r="A512" s="2"/>
      <c r="B512" s="2"/>
      <c r="C512" s="2"/>
      <c r="D512" s="2"/>
      <c r="E512" s="2"/>
      <c r="F512" s="2"/>
    </row>
    <row r="513" spans="1:6" ht="12.75" customHeight="1" x14ac:dyDescent="0.25">
      <c r="A513" s="2"/>
      <c r="B513" s="2"/>
      <c r="C513" s="2"/>
      <c r="D513" s="2"/>
      <c r="E513" s="2"/>
      <c r="F513" s="2"/>
    </row>
    <row r="514" spans="1:6" ht="12.75" customHeight="1" x14ac:dyDescent="0.25">
      <c r="A514" s="2"/>
      <c r="B514" s="2"/>
      <c r="C514" s="2"/>
      <c r="D514" s="2"/>
      <c r="E514" s="2"/>
      <c r="F514" s="2"/>
    </row>
    <row r="515" spans="1:6" ht="12.75" customHeight="1" x14ac:dyDescent="0.25">
      <c r="A515" s="2"/>
      <c r="B515" s="2"/>
      <c r="C515" s="2"/>
      <c r="D515" s="2"/>
      <c r="E515" s="2"/>
      <c r="F515" s="2"/>
    </row>
    <row r="516" spans="1:6" ht="12.75" customHeight="1" x14ac:dyDescent="0.25">
      <c r="A516" s="2"/>
      <c r="B516" s="2"/>
      <c r="C516" s="2"/>
      <c r="D516" s="2"/>
      <c r="E516" s="2"/>
      <c r="F516" s="2"/>
    </row>
    <row r="517" spans="1:6" ht="12.75" customHeight="1" x14ac:dyDescent="0.25">
      <c r="A517" s="2"/>
      <c r="B517" s="2"/>
      <c r="C517" s="2"/>
      <c r="D517" s="2"/>
      <c r="E517" s="2"/>
      <c r="F517" s="2"/>
    </row>
    <row r="518" spans="1:6" ht="12.75" customHeight="1" x14ac:dyDescent="0.25">
      <c r="A518" s="2"/>
      <c r="B518" s="2"/>
      <c r="C518" s="2"/>
      <c r="D518" s="2"/>
      <c r="E518" s="2"/>
      <c r="F518" s="2"/>
    </row>
    <row r="519" spans="1:6" ht="12.75" customHeight="1" x14ac:dyDescent="0.25">
      <c r="A519" s="2"/>
      <c r="B519" s="2"/>
      <c r="C519" s="2"/>
      <c r="D519" s="2"/>
      <c r="E519" s="2"/>
      <c r="F519" s="2"/>
    </row>
    <row r="520" spans="1:6" ht="12.75" customHeight="1" x14ac:dyDescent="0.25">
      <c r="A520" s="2"/>
      <c r="B520" s="2"/>
      <c r="C520" s="2"/>
      <c r="D520" s="2"/>
      <c r="E520" s="2"/>
      <c r="F520" s="2"/>
    </row>
    <row r="521" spans="1:6" ht="12.75" customHeight="1" x14ac:dyDescent="0.25">
      <c r="A521" s="2"/>
      <c r="B521" s="2"/>
      <c r="C521" s="2"/>
      <c r="D521" s="2"/>
      <c r="E521" s="2"/>
      <c r="F521" s="2"/>
    </row>
    <row r="522" spans="1:6" ht="12.75" customHeight="1" x14ac:dyDescent="0.25">
      <c r="A522" s="2"/>
      <c r="B522" s="2"/>
      <c r="C522" s="2"/>
      <c r="D522" s="2"/>
      <c r="E522" s="2"/>
      <c r="F522" s="2"/>
    </row>
    <row r="523" spans="1:6" ht="12.75" customHeight="1" x14ac:dyDescent="0.25">
      <c r="A523" s="2"/>
      <c r="B523" s="2"/>
      <c r="C523" s="2"/>
      <c r="D523" s="2"/>
      <c r="E523" s="2"/>
      <c r="F523" s="2"/>
    </row>
    <row r="524" spans="1:6" ht="12.75" customHeight="1" x14ac:dyDescent="0.25">
      <c r="A524" s="2"/>
      <c r="B524" s="2"/>
      <c r="C524" s="2"/>
      <c r="D524" s="2"/>
      <c r="E524" s="2"/>
      <c r="F524" s="2"/>
    </row>
    <row r="525" spans="1:6" ht="12.75" customHeight="1" x14ac:dyDescent="0.25">
      <c r="A525" s="2"/>
      <c r="B525" s="2"/>
      <c r="C525" s="2"/>
      <c r="D525" s="2"/>
      <c r="E525" s="2"/>
      <c r="F525" s="2"/>
    </row>
    <row r="526" spans="1:6" ht="12.75" customHeight="1" x14ac:dyDescent="0.25">
      <c r="A526" s="2"/>
      <c r="B526" s="2"/>
      <c r="C526" s="2"/>
      <c r="D526" s="2"/>
      <c r="E526" s="2"/>
      <c r="F526" s="2"/>
    </row>
    <row r="527" spans="1:6" ht="12.75" customHeight="1" x14ac:dyDescent="0.25">
      <c r="A527" s="2"/>
      <c r="B527" s="2"/>
      <c r="C527" s="2"/>
      <c r="D527" s="2"/>
      <c r="E527" s="2"/>
      <c r="F527" s="2"/>
    </row>
    <row r="528" spans="1:6" ht="12.75" customHeight="1" x14ac:dyDescent="0.25">
      <c r="A528" s="2"/>
      <c r="B528" s="2"/>
      <c r="C528" s="2"/>
      <c r="D528" s="2"/>
      <c r="E528" s="2"/>
      <c r="F528" s="2"/>
    </row>
    <row r="529" spans="1:6" ht="12.75" customHeight="1" x14ac:dyDescent="0.25">
      <c r="A529" s="2"/>
      <c r="B529" s="2"/>
      <c r="C529" s="2"/>
      <c r="D529" s="2"/>
      <c r="E529" s="2"/>
      <c r="F529" s="2"/>
    </row>
    <row r="530" spans="1:6" ht="12.75" customHeight="1" x14ac:dyDescent="0.25">
      <c r="A530" s="2"/>
      <c r="B530" s="2"/>
      <c r="C530" s="2"/>
      <c r="D530" s="2"/>
      <c r="E530" s="2"/>
      <c r="F530" s="2"/>
    </row>
    <row r="531" spans="1:6" ht="12.75" customHeight="1" x14ac:dyDescent="0.25">
      <c r="A531" s="2"/>
      <c r="B531" s="2"/>
      <c r="C531" s="2"/>
      <c r="D531" s="2"/>
      <c r="E531" s="2"/>
      <c r="F531" s="2"/>
    </row>
    <row r="532" spans="1:6" ht="12.75" customHeight="1" x14ac:dyDescent="0.25">
      <c r="A532" s="2"/>
      <c r="B532" s="2"/>
      <c r="C532" s="2"/>
      <c r="D532" s="2"/>
      <c r="E532" s="2"/>
      <c r="F532" s="2"/>
    </row>
    <row r="533" spans="1:6" ht="12.75" customHeight="1" x14ac:dyDescent="0.25">
      <c r="A533" s="2"/>
      <c r="B533" s="2"/>
      <c r="C533" s="2"/>
      <c r="D533" s="2"/>
      <c r="E533" s="2"/>
      <c r="F533" s="2"/>
    </row>
    <row r="534" spans="1:6" ht="12.75" customHeight="1" x14ac:dyDescent="0.25">
      <c r="A534" s="2"/>
      <c r="B534" s="2"/>
      <c r="C534" s="2"/>
      <c r="D534" s="2"/>
      <c r="E534" s="2"/>
      <c r="F534" s="2"/>
    </row>
    <row r="535" spans="1:6" ht="12.75" customHeight="1" x14ac:dyDescent="0.25">
      <c r="A535" s="2"/>
      <c r="B535" s="2"/>
      <c r="C535" s="2"/>
      <c r="D535" s="2"/>
      <c r="E535" s="2"/>
      <c r="F535" s="2"/>
    </row>
    <row r="536" spans="1:6" ht="12.75" customHeight="1" x14ac:dyDescent="0.25">
      <c r="A536" s="2"/>
      <c r="B536" s="2"/>
      <c r="C536" s="2"/>
      <c r="D536" s="2"/>
      <c r="E536" s="2"/>
      <c r="F536" s="2"/>
    </row>
    <row r="537" spans="1:6" ht="12.75" customHeight="1" x14ac:dyDescent="0.25">
      <c r="A537" s="2"/>
      <c r="B537" s="2"/>
      <c r="C537" s="2"/>
      <c r="D537" s="2"/>
      <c r="E537" s="2"/>
      <c r="F537" s="2"/>
    </row>
    <row r="538" spans="1:6" ht="12.75" customHeight="1" x14ac:dyDescent="0.25">
      <c r="A538" s="2"/>
      <c r="B538" s="2"/>
      <c r="C538" s="2"/>
      <c r="D538" s="2"/>
      <c r="E538" s="2"/>
      <c r="F538" s="2"/>
    </row>
    <row r="539" spans="1:6" ht="12.75" customHeight="1" x14ac:dyDescent="0.25">
      <c r="A539" s="2"/>
      <c r="B539" s="2"/>
      <c r="C539" s="2"/>
      <c r="D539" s="2"/>
      <c r="E539" s="2"/>
      <c r="F539" s="2"/>
    </row>
    <row r="540" spans="1:6" ht="12.75" customHeight="1" x14ac:dyDescent="0.25">
      <c r="A540" s="2"/>
      <c r="B540" s="2"/>
      <c r="C540" s="2"/>
      <c r="D540" s="2"/>
      <c r="E540" s="2"/>
      <c r="F540" s="2"/>
    </row>
    <row r="541" spans="1:6" ht="12.75" customHeight="1" x14ac:dyDescent="0.25">
      <c r="A541" s="2"/>
      <c r="B541" s="2"/>
      <c r="C541" s="2"/>
      <c r="D541" s="2"/>
      <c r="E541" s="2"/>
      <c r="F541" s="2"/>
    </row>
    <row r="542" spans="1:6" ht="12.75" customHeight="1" x14ac:dyDescent="0.25">
      <c r="A542" s="2"/>
      <c r="B542" s="2"/>
      <c r="C542" s="2"/>
      <c r="D542" s="2"/>
      <c r="E542" s="2"/>
      <c r="F542" s="2"/>
    </row>
    <row r="543" spans="1:6" ht="12.75" customHeight="1" x14ac:dyDescent="0.25">
      <c r="A543" s="2"/>
      <c r="B543" s="2"/>
      <c r="C543" s="2"/>
      <c r="D543" s="2"/>
      <c r="E543" s="2"/>
      <c r="F543" s="2"/>
    </row>
    <row r="544" spans="1:6" ht="12.75" customHeight="1" x14ac:dyDescent="0.25">
      <c r="A544" s="2"/>
      <c r="B544" s="2"/>
      <c r="C544" s="2"/>
      <c r="D544" s="2"/>
      <c r="E544" s="2"/>
      <c r="F544" s="2"/>
    </row>
    <row r="545" spans="1:6" ht="12.75" customHeight="1" x14ac:dyDescent="0.25">
      <c r="A545" s="2"/>
      <c r="B545" s="2"/>
      <c r="C545" s="2"/>
      <c r="D545" s="2"/>
      <c r="E545" s="2"/>
      <c r="F545" s="2"/>
    </row>
    <row r="546" spans="1:6" ht="12.75" customHeight="1" x14ac:dyDescent="0.25">
      <c r="A546" s="2"/>
      <c r="B546" s="2"/>
      <c r="C546" s="2"/>
      <c r="D546" s="2"/>
      <c r="E546" s="2"/>
      <c r="F546" s="2"/>
    </row>
    <row r="547" spans="1:6" ht="12.75" customHeight="1" x14ac:dyDescent="0.25">
      <c r="A547" s="2"/>
      <c r="B547" s="2"/>
      <c r="C547" s="2"/>
      <c r="D547" s="2"/>
      <c r="E547" s="2"/>
      <c r="F547" s="2"/>
    </row>
    <row r="548" spans="1:6" ht="12.75" customHeight="1" x14ac:dyDescent="0.25">
      <c r="A548" s="2"/>
      <c r="B548" s="2"/>
      <c r="C548" s="2"/>
      <c r="D548" s="2"/>
      <c r="E548" s="2"/>
      <c r="F548" s="2"/>
    </row>
    <row r="549" spans="1:6" ht="12.75" customHeight="1" x14ac:dyDescent="0.25">
      <c r="A549" s="2"/>
      <c r="B549" s="2"/>
      <c r="C549" s="2"/>
      <c r="D549" s="2"/>
      <c r="E549" s="2"/>
      <c r="F549" s="2"/>
    </row>
    <row r="550" spans="1:6" ht="12.75" customHeight="1" x14ac:dyDescent="0.25">
      <c r="A550" s="2"/>
      <c r="B550" s="2"/>
      <c r="C550" s="2"/>
      <c r="D550" s="2"/>
      <c r="E550" s="2"/>
      <c r="F550" s="2"/>
    </row>
    <row r="551" spans="1:6" ht="12.75" customHeight="1" x14ac:dyDescent="0.25">
      <c r="A551" s="2"/>
      <c r="B551" s="2"/>
      <c r="C551" s="2"/>
      <c r="D551" s="2"/>
      <c r="E551" s="2"/>
      <c r="F551" s="2"/>
    </row>
    <row r="552" spans="1:6" ht="12.75" customHeight="1" x14ac:dyDescent="0.25">
      <c r="A552" s="2"/>
      <c r="B552" s="2"/>
      <c r="C552" s="2"/>
      <c r="D552" s="2"/>
      <c r="E552" s="2"/>
      <c r="F552" s="2"/>
    </row>
    <row r="553" spans="1:6" ht="12.75" customHeight="1" x14ac:dyDescent="0.25">
      <c r="A553" s="2"/>
      <c r="B553" s="2"/>
      <c r="C553" s="2"/>
      <c r="D553" s="2"/>
      <c r="E553" s="2"/>
      <c r="F553" s="2"/>
    </row>
    <row r="554" spans="1:6" ht="12.75" customHeight="1" x14ac:dyDescent="0.25">
      <c r="A554" s="2"/>
      <c r="B554" s="2"/>
      <c r="C554" s="2"/>
      <c r="D554" s="2"/>
      <c r="E554" s="2"/>
      <c r="F554" s="2"/>
    </row>
    <row r="555" spans="1:6" ht="12.75" customHeight="1" x14ac:dyDescent="0.25">
      <c r="A555" s="2"/>
      <c r="B555" s="2"/>
      <c r="C555" s="2"/>
      <c r="D555" s="2"/>
      <c r="E555" s="2"/>
      <c r="F555" s="2"/>
    </row>
    <row r="556" spans="1:6" ht="12.75" customHeight="1" x14ac:dyDescent="0.25">
      <c r="A556" s="2"/>
      <c r="B556" s="2"/>
      <c r="C556" s="2"/>
      <c r="D556" s="2"/>
      <c r="E556" s="2"/>
      <c r="F556" s="2"/>
    </row>
    <row r="557" spans="1:6" ht="12.75" customHeight="1" x14ac:dyDescent="0.25">
      <c r="A557" s="2"/>
      <c r="B557" s="2"/>
      <c r="C557" s="2"/>
      <c r="D557" s="2"/>
      <c r="E557" s="2"/>
      <c r="F557" s="2"/>
    </row>
    <row r="558" spans="1:6" ht="12.75" customHeight="1" x14ac:dyDescent="0.25">
      <c r="A558" s="2"/>
      <c r="B558" s="2"/>
      <c r="C558" s="2"/>
      <c r="D558" s="2"/>
      <c r="E558" s="2"/>
      <c r="F558" s="2"/>
    </row>
    <row r="559" spans="1:6" ht="12.75" customHeight="1" x14ac:dyDescent="0.25">
      <c r="A559" s="2"/>
      <c r="B559" s="2"/>
      <c r="C559" s="2"/>
      <c r="D559" s="2"/>
      <c r="E559" s="2"/>
      <c r="F559" s="2"/>
    </row>
    <row r="560" spans="1:6" ht="12.75" customHeight="1" x14ac:dyDescent="0.25">
      <c r="A560" s="2"/>
      <c r="B560" s="2"/>
      <c r="C560" s="2"/>
      <c r="D560" s="2"/>
      <c r="E560" s="2"/>
      <c r="F560" s="2"/>
    </row>
    <row r="561" spans="1:6" ht="12.75" customHeight="1" x14ac:dyDescent="0.25">
      <c r="A561" s="2"/>
      <c r="B561" s="2"/>
      <c r="C561" s="2"/>
      <c r="D561" s="2"/>
      <c r="E561" s="2"/>
      <c r="F561" s="2"/>
    </row>
    <row r="562" spans="1:6" ht="12.75" customHeight="1" x14ac:dyDescent="0.25">
      <c r="A562" s="2"/>
      <c r="B562" s="2"/>
      <c r="C562" s="2"/>
      <c r="D562" s="2"/>
      <c r="E562" s="2"/>
      <c r="F562" s="2"/>
    </row>
    <row r="563" spans="1:6" ht="12.75" customHeight="1" x14ac:dyDescent="0.25">
      <c r="A563" s="2"/>
      <c r="B563" s="2"/>
      <c r="C563" s="2"/>
      <c r="D563" s="2"/>
      <c r="E563" s="2"/>
      <c r="F563" s="2"/>
    </row>
    <row r="564" spans="1:6" ht="12.75" customHeight="1" x14ac:dyDescent="0.25">
      <c r="A564" s="2"/>
      <c r="B564" s="2"/>
      <c r="C564" s="2"/>
      <c r="D564" s="2"/>
      <c r="E564" s="2"/>
      <c r="F564" s="2"/>
    </row>
    <row r="565" spans="1:6" ht="12.75" customHeight="1" x14ac:dyDescent="0.25">
      <c r="A565" s="2"/>
      <c r="B565" s="2"/>
      <c r="C565" s="2"/>
      <c r="D565" s="2"/>
      <c r="E565" s="2"/>
      <c r="F565" s="2"/>
    </row>
    <row r="566" spans="1:6" ht="12.75" customHeight="1" x14ac:dyDescent="0.25">
      <c r="A566" s="2"/>
      <c r="B566" s="2"/>
      <c r="C566" s="2"/>
      <c r="D566" s="2"/>
      <c r="E566" s="2"/>
      <c r="F566" s="2"/>
    </row>
    <row r="567" spans="1:6" ht="12.75" customHeight="1" x14ac:dyDescent="0.25">
      <c r="A567" s="2"/>
      <c r="B567" s="2"/>
      <c r="C567" s="2"/>
      <c r="D567" s="2"/>
      <c r="E567" s="2"/>
      <c r="F567" s="2"/>
    </row>
    <row r="568" spans="1:6" ht="12.75" customHeight="1" x14ac:dyDescent="0.25">
      <c r="A568" s="2"/>
      <c r="B568" s="2"/>
      <c r="C568" s="2"/>
      <c r="D568" s="2"/>
      <c r="E568" s="2"/>
      <c r="F568" s="2"/>
    </row>
    <row r="569" spans="1:6" ht="12.75" customHeight="1" x14ac:dyDescent="0.25">
      <c r="A569" s="2"/>
      <c r="B569" s="2"/>
      <c r="C569" s="2"/>
      <c r="D569" s="2"/>
      <c r="E569" s="2"/>
      <c r="F569" s="2"/>
    </row>
    <row r="570" spans="1:6" ht="12.75" customHeight="1" x14ac:dyDescent="0.25">
      <c r="A570" s="2"/>
      <c r="B570" s="2"/>
      <c r="C570" s="2"/>
      <c r="D570" s="2"/>
      <c r="E570" s="2"/>
      <c r="F570" s="2"/>
    </row>
    <row r="571" spans="1:6" ht="12.75" customHeight="1" x14ac:dyDescent="0.25">
      <c r="A571" s="2"/>
      <c r="B571" s="2"/>
      <c r="C571" s="2"/>
      <c r="D571" s="2"/>
      <c r="E571" s="2"/>
      <c r="F571" s="2"/>
    </row>
    <row r="572" spans="1:6" ht="12.75" customHeight="1" x14ac:dyDescent="0.25">
      <c r="A572" s="2"/>
      <c r="B572" s="2"/>
      <c r="C572" s="2"/>
      <c r="D572" s="2"/>
      <c r="E572" s="2"/>
      <c r="F572" s="2"/>
    </row>
    <row r="573" spans="1:6" ht="12.75" customHeight="1" x14ac:dyDescent="0.25">
      <c r="A573" s="2"/>
      <c r="B573" s="2"/>
      <c r="C573" s="2"/>
      <c r="D573" s="2"/>
      <c r="E573" s="2"/>
      <c r="F573" s="2"/>
    </row>
    <row r="574" spans="1:6" ht="12.75" customHeight="1" x14ac:dyDescent="0.25">
      <c r="A574" s="2"/>
      <c r="B574" s="2"/>
      <c r="C574" s="2"/>
      <c r="D574" s="2"/>
      <c r="E574" s="2"/>
      <c r="F574" s="2"/>
    </row>
    <row r="575" spans="1:6" ht="12.75" customHeight="1" x14ac:dyDescent="0.25">
      <c r="A575" s="2"/>
      <c r="B575" s="2"/>
      <c r="C575" s="2"/>
      <c r="D575" s="2"/>
      <c r="E575" s="2"/>
      <c r="F575" s="2"/>
    </row>
    <row r="576" spans="1:6" ht="12.75" customHeight="1" x14ac:dyDescent="0.25">
      <c r="A576" s="2"/>
      <c r="B576" s="2"/>
      <c r="C576" s="2"/>
      <c r="D576" s="2"/>
      <c r="E576" s="2"/>
      <c r="F576" s="2"/>
    </row>
    <row r="577" spans="1:6" ht="12.75" customHeight="1" x14ac:dyDescent="0.25">
      <c r="A577" s="2"/>
      <c r="B577" s="2"/>
      <c r="C577" s="2"/>
      <c r="D577" s="2"/>
      <c r="E577" s="2"/>
      <c r="F577" s="2"/>
    </row>
    <row r="578" spans="1:6" ht="12.75" customHeight="1" x14ac:dyDescent="0.25">
      <c r="A578" s="2"/>
      <c r="B578" s="2"/>
      <c r="C578" s="2"/>
      <c r="D578" s="2"/>
      <c r="E578" s="2"/>
      <c r="F578" s="2"/>
    </row>
    <row r="579" spans="1:6" ht="12.75" customHeight="1" x14ac:dyDescent="0.25">
      <c r="A579" s="2"/>
      <c r="B579" s="2"/>
      <c r="C579" s="2"/>
      <c r="D579" s="2"/>
      <c r="E579" s="2"/>
      <c r="F579" s="2"/>
    </row>
    <row r="580" spans="1:6" ht="12.75" customHeight="1" x14ac:dyDescent="0.25">
      <c r="A580" s="2"/>
      <c r="B580" s="2"/>
      <c r="C580" s="2"/>
      <c r="D580" s="2"/>
      <c r="E580" s="2"/>
      <c r="F580" s="2"/>
    </row>
    <row r="581" spans="1:6" ht="12.75" customHeight="1" x14ac:dyDescent="0.25">
      <c r="A581" s="2"/>
      <c r="B581" s="2"/>
      <c r="C581" s="2"/>
      <c r="D581" s="2"/>
      <c r="E581" s="2"/>
      <c r="F581" s="2"/>
    </row>
    <row r="582" spans="1:6" ht="12.75" customHeight="1" x14ac:dyDescent="0.25">
      <c r="A582" s="2"/>
      <c r="B582" s="2"/>
      <c r="C582" s="2"/>
      <c r="D582" s="2"/>
      <c r="E582" s="2"/>
      <c r="F582" s="2"/>
    </row>
    <row r="583" spans="1:6" ht="12.75" customHeight="1" x14ac:dyDescent="0.25">
      <c r="A583" s="2"/>
      <c r="B583" s="2"/>
      <c r="C583" s="2"/>
      <c r="D583" s="2"/>
      <c r="E583" s="2"/>
      <c r="F583" s="2"/>
    </row>
    <row r="584" spans="1:6" ht="12.75" customHeight="1" x14ac:dyDescent="0.25">
      <c r="A584" s="2"/>
      <c r="B584" s="2"/>
      <c r="C584" s="2"/>
      <c r="D584" s="2"/>
      <c r="E584" s="2"/>
      <c r="F584" s="2"/>
    </row>
    <row r="585" spans="1:6" ht="12.75" customHeight="1" x14ac:dyDescent="0.25">
      <c r="A585" s="2"/>
      <c r="B585" s="2"/>
      <c r="C585" s="2"/>
      <c r="D585" s="2"/>
      <c r="E585" s="2"/>
      <c r="F585" s="2"/>
    </row>
    <row r="586" spans="1:6" ht="12.75" customHeight="1" x14ac:dyDescent="0.25">
      <c r="A586" s="2"/>
      <c r="B586" s="2"/>
      <c r="C586" s="2"/>
      <c r="D586" s="2"/>
      <c r="E586" s="2"/>
      <c r="F586" s="2"/>
    </row>
    <row r="587" spans="1:6" ht="12.75" customHeight="1" x14ac:dyDescent="0.25">
      <c r="A587" s="2"/>
      <c r="B587" s="2"/>
      <c r="C587" s="2"/>
      <c r="D587" s="2"/>
      <c r="E587" s="2"/>
      <c r="F587" s="2"/>
    </row>
    <row r="588" spans="1:6" ht="12.75" customHeight="1" x14ac:dyDescent="0.25">
      <c r="A588" s="2"/>
      <c r="B588" s="2"/>
      <c r="C588" s="2"/>
      <c r="D588" s="2"/>
      <c r="E588" s="2"/>
      <c r="F588" s="2"/>
    </row>
    <row r="589" spans="1:6" ht="12.75" customHeight="1" x14ac:dyDescent="0.25">
      <c r="A589" s="2"/>
      <c r="B589" s="2"/>
      <c r="C589" s="2"/>
      <c r="D589" s="2"/>
      <c r="E589" s="2"/>
      <c r="F589" s="2"/>
    </row>
    <row r="590" spans="1:6" ht="12.75" customHeight="1" x14ac:dyDescent="0.25">
      <c r="A590" s="2"/>
      <c r="B590" s="2"/>
      <c r="C590" s="2"/>
      <c r="D590" s="2"/>
      <c r="E590" s="2"/>
      <c r="F590" s="2"/>
    </row>
    <row r="591" spans="1:6" ht="12.75" customHeight="1" x14ac:dyDescent="0.25">
      <c r="A591" s="2"/>
      <c r="B591" s="2"/>
      <c r="C591" s="2"/>
      <c r="D591" s="2"/>
      <c r="E591" s="2"/>
      <c r="F591" s="2"/>
    </row>
    <row r="592" spans="1:6" ht="12.75" customHeight="1" x14ac:dyDescent="0.25">
      <c r="A592" s="2"/>
      <c r="B592" s="2"/>
      <c r="C592" s="2"/>
      <c r="D592" s="2"/>
      <c r="E592" s="2"/>
      <c r="F592" s="2"/>
    </row>
    <row r="593" spans="1:6" ht="12.75" customHeight="1" x14ac:dyDescent="0.25">
      <c r="A593" s="2"/>
      <c r="B593" s="2"/>
      <c r="C593" s="2"/>
      <c r="D593" s="2"/>
      <c r="E593" s="2"/>
      <c r="F593" s="2"/>
    </row>
    <row r="594" spans="1:6" ht="12.75" customHeight="1" x14ac:dyDescent="0.25">
      <c r="A594" s="2"/>
      <c r="B594" s="2"/>
      <c r="C594" s="2"/>
      <c r="D594" s="2"/>
      <c r="E594" s="2"/>
      <c r="F594" s="2"/>
    </row>
    <row r="595" spans="1:6" ht="12.75" customHeight="1" x14ac:dyDescent="0.25">
      <c r="A595" s="2"/>
      <c r="B595" s="2"/>
      <c r="C595" s="2"/>
      <c r="D595" s="2"/>
      <c r="E595" s="2"/>
      <c r="F595" s="2"/>
    </row>
    <row r="596" spans="1:6" ht="12.75" customHeight="1" x14ac:dyDescent="0.25">
      <c r="A596" s="2"/>
      <c r="B596" s="2"/>
      <c r="C596" s="2"/>
      <c r="D596" s="2"/>
      <c r="E596" s="2"/>
      <c r="F596" s="2"/>
    </row>
    <row r="597" spans="1:6" ht="12.75" customHeight="1" x14ac:dyDescent="0.25">
      <c r="A597" s="2"/>
      <c r="B597" s="2"/>
      <c r="C597" s="2"/>
      <c r="D597" s="2"/>
      <c r="E597" s="2"/>
      <c r="F597" s="2"/>
    </row>
    <row r="598" spans="1:6" ht="12.75" customHeight="1" x14ac:dyDescent="0.25">
      <c r="A598" s="2"/>
      <c r="B598" s="2"/>
      <c r="C598" s="2"/>
      <c r="D598" s="2"/>
      <c r="E598" s="2"/>
      <c r="F598" s="2"/>
    </row>
    <row r="599" spans="1:6" ht="12.75" customHeight="1" x14ac:dyDescent="0.25">
      <c r="A599" s="2"/>
      <c r="B599" s="2"/>
      <c r="C599" s="2"/>
      <c r="D599" s="2"/>
      <c r="E599" s="2"/>
      <c r="F599" s="2"/>
    </row>
    <row r="600" spans="1:6" ht="12.75" customHeight="1" x14ac:dyDescent="0.25">
      <c r="A600" s="2"/>
      <c r="B600" s="2"/>
      <c r="C600" s="2"/>
      <c r="D600" s="2"/>
      <c r="E600" s="2"/>
      <c r="F600" s="2"/>
    </row>
    <row r="601" spans="1:6" ht="12.75" customHeight="1" x14ac:dyDescent="0.25">
      <c r="A601" s="2"/>
      <c r="B601" s="2"/>
      <c r="C601" s="2"/>
      <c r="D601" s="2"/>
      <c r="E601" s="2"/>
      <c r="F601" s="2"/>
    </row>
    <row r="602" spans="1:6" ht="12.75" customHeight="1" x14ac:dyDescent="0.25">
      <c r="A602" s="2"/>
      <c r="B602" s="2"/>
      <c r="C602" s="2"/>
      <c r="D602" s="2"/>
      <c r="E602" s="2"/>
      <c r="F602" s="2"/>
    </row>
    <row r="603" spans="1:6" ht="12.75" customHeight="1" x14ac:dyDescent="0.25">
      <c r="A603" s="2"/>
      <c r="B603" s="2"/>
      <c r="C603" s="2"/>
      <c r="D603" s="2"/>
      <c r="E603" s="2"/>
      <c r="F603" s="2"/>
    </row>
    <row r="604" spans="1:6" ht="12.75" customHeight="1" x14ac:dyDescent="0.25">
      <c r="A604" s="2"/>
      <c r="B604" s="2"/>
      <c r="C604" s="2"/>
      <c r="D604" s="2"/>
      <c r="E604" s="2"/>
      <c r="F604" s="2"/>
    </row>
    <row r="605" spans="1:6" ht="12.75" customHeight="1" x14ac:dyDescent="0.25">
      <c r="A605" s="2"/>
      <c r="B605" s="2"/>
      <c r="C605" s="2"/>
      <c r="D605" s="2"/>
      <c r="E605" s="2"/>
      <c r="F605" s="2"/>
    </row>
    <row r="606" spans="1:6" ht="12.75" customHeight="1" x14ac:dyDescent="0.25">
      <c r="A606" s="2"/>
      <c r="B606" s="2"/>
      <c r="C606" s="2"/>
      <c r="D606" s="2"/>
      <c r="E606" s="2"/>
      <c r="F606" s="2"/>
    </row>
    <row r="607" spans="1:6" ht="12.75" customHeight="1" x14ac:dyDescent="0.25">
      <c r="A607" s="2"/>
      <c r="B607" s="2"/>
      <c r="C607" s="2"/>
      <c r="D607" s="2"/>
      <c r="E607" s="2"/>
      <c r="F607" s="2"/>
    </row>
    <row r="608" spans="1:6" ht="12.75" customHeight="1" x14ac:dyDescent="0.25">
      <c r="A608" s="2"/>
      <c r="B608" s="2"/>
      <c r="C608" s="2"/>
      <c r="D608" s="2"/>
      <c r="E608" s="2"/>
      <c r="F608" s="2"/>
    </row>
    <row r="609" spans="1:6" ht="12.75" customHeight="1" x14ac:dyDescent="0.25">
      <c r="A609" s="2"/>
      <c r="B609" s="2"/>
      <c r="C609" s="2"/>
      <c r="D609" s="2"/>
      <c r="E609" s="2"/>
      <c r="F609" s="2"/>
    </row>
    <row r="610" spans="1:6" ht="12.75" customHeight="1" x14ac:dyDescent="0.25">
      <c r="A610" s="2"/>
      <c r="B610" s="2"/>
      <c r="C610" s="2"/>
      <c r="D610" s="2"/>
      <c r="E610" s="2"/>
      <c r="F610" s="2"/>
    </row>
    <row r="611" spans="1:6" ht="12.75" customHeight="1" x14ac:dyDescent="0.25">
      <c r="A611" s="2"/>
      <c r="B611" s="2"/>
      <c r="C611" s="2"/>
      <c r="D611" s="2"/>
      <c r="E611" s="2"/>
      <c r="F611" s="2"/>
    </row>
    <row r="612" spans="1:6" ht="12.75" customHeight="1" x14ac:dyDescent="0.25">
      <c r="A612" s="2"/>
      <c r="B612" s="2"/>
      <c r="C612" s="2"/>
      <c r="D612" s="2"/>
      <c r="E612" s="2"/>
      <c r="F612" s="2"/>
    </row>
    <row r="613" spans="1:6" ht="12.75" customHeight="1" x14ac:dyDescent="0.25">
      <c r="A613" s="2"/>
      <c r="B613" s="2"/>
      <c r="C613" s="2"/>
      <c r="D613" s="2"/>
      <c r="E613" s="2"/>
      <c r="F613" s="2"/>
    </row>
    <row r="614" spans="1:6" ht="12.75" customHeight="1" x14ac:dyDescent="0.25">
      <c r="A614" s="2"/>
      <c r="B614" s="2"/>
      <c r="C614" s="2"/>
      <c r="D614" s="2"/>
      <c r="E614" s="2"/>
      <c r="F614" s="2"/>
    </row>
    <row r="615" spans="1:6" ht="12.75" customHeight="1" x14ac:dyDescent="0.25">
      <c r="A615" s="2"/>
      <c r="B615" s="2"/>
      <c r="C615" s="2"/>
      <c r="D615" s="2"/>
      <c r="E615" s="2"/>
      <c r="F615" s="2"/>
    </row>
    <row r="616" spans="1:6" ht="12.75" customHeight="1" x14ac:dyDescent="0.25">
      <c r="A616" s="2"/>
      <c r="B616" s="2"/>
      <c r="C616" s="2"/>
      <c r="D616" s="2"/>
      <c r="E616" s="2"/>
      <c r="F616" s="2"/>
    </row>
    <row r="617" spans="1:6" ht="12.75" customHeight="1" x14ac:dyDescent="0.25">
      <c r="A617" s="2"/>
      <c r="B617" s="2"/>
      <c r="C617" s="2"/>
      <c r="D617" s="2"/>
      <c r="E617" s="2"/>
      <c r="F617" s="2"/>
    </row>
    <row r="618" spans="1:6" ht="12.75" customHeight="1" x14ac:dyDescent="0.25">
      <c r="A618" s="2"/>
      <c r="B618" s="2"/>
      <c r="C618" s="2"/>
      <c r="D618" s="2"/>
      <c r="E618" s="2"/>
      <c r="F618" s="2"/>
    </row>
    <row r="619" spans="1:6" ht="12.75" customHeight="1" x14ac:dyDescent="0.25">
      <c r="A619" s="2"/>
      <c r="B619" s="2"/>
      <c r="C619" s="2"/>
      <c r="D619" s="2"/>
      <c r="E619" s="2"/>
      <c r="F619" s="2"/>
    </row>
    <row r="620" spans="1:6" ht="12.75" customHeight="1" x14ac:dyDescent="0.25">
      <c r="A620" s="2"/>
      <c r="B620" s="2"/>
      <c r="C620" s="2"/>
      <c r="D620" s="2"/>
      <c r="E620" s="2"/>
      <c r="F620" s="2"/>
    </row>
    <row r="621" spans="1:6" ht="12.75" customHeight="1" x14ac:dyDescent="0.25">
      <c r="A621" s="2"/>
      <c r="B621" s="2"/>
      <c r="C621" s="2"/>
      <c r="D621" s="2"/>
      <c r="E621" s="2"/>
      <c r="F621" s="2"/>
    </row>
    <row r="622" spans="1:6" ht="12.75" customHeight="1" x14ac:dyDescent="0.25">
      <c r="A622" s="2"/>
      <c r="B622" s="2"/>
      <c r="C622" s="2"/>
      <c r="D622" s="2"/>
      <c r="E622" s="2"/>
      <c r="F622" s="2"/>
    </row>
    <row r="623" spans="1:6" ht="12.75" customHeight="1" x14ac:dyDescent="0.25">
      <c r="A623" s="2"/>
      <c r="B623" s="2"/>
      <c r="C623" s="2"/>
      <c r="D623" s="2"/>
      <c r="E623" s="2"/>
      <c r="F623" s="2"/>
    </row>
    <row r="624" spans="1:6" ht="12.75" customHeight="1" x14ac:dyDescent="0.25">
      <c r="A624" s="2"/>
      <c r="B624" s="2"/>
      <c r="C624" s="2"/>
      <c r="D624" s="2"/>
      <c r="E624" s="2"/>
      <c r="F624" s="2"/>
    </row>
    <row r="625" spans="1:6" ht="12.75" customHeight="1" x14ac:dyDescent="0.25">
      <c r="A625" s="2"/>
      <c r="B625" s="2"/>
      <c r="C625" s="2"/>
      <c r="D625" s="2"/>
      <c r="E625" s="2"/>
      <c r="F625" s="2"/>
    </row>
    <row r="626" spans="1:6" ht="12.75" customHeight="1" x14ac:dyDescent="0.25">
      <c r="A626" s="2"/>
      <c r="B626" s="2"/>
      <c r="C626" s="2"/>
      <c r="D626" s="2"/>
      <c r="E626" s="2"/>
      <c r="F626" s="2"/>
    </row>
    <row r="627" spans="1:6" ht="12.75" customHeight="1" x14ac:dyDescent="0.25">
      <c r="A627" s="2"/>
      <c r="B627" s="2"/>
      <c r="C627" s="2"/>
      <c r="D627" s="2"/>
      <c r="E627" s="2"/>
      <c r="F627" s="2"/>
    </row>
    <row r="628" spans="1:6" ht="12.75" customHeight="1" x14ac:dyDescent="0.25">
      <c r="A628" s="2"/>
      <c r="B628" s="2"/>
      <c r="C628" s="2"/>
      <c r="D628" s="2"/>
      <c r="E628" s="2"/>
      <c r="F628" s="2"/>
    </row>
    <row r="629" spans="1:6" ht="12.75" customHeight="1" x14ac:dyDescent="0.25">
      <c r="A629" s="2"/>
      <c r="B629" s="2"/>
      <c r="C629" s="2"/>
      <c r="D629" s="2"/>
      <c r="E629" s="2"/>
      <c r="F629" s="2"/>
    </row>
    <row r="630" spans="1:6" ht="12.75" customHeight="1" x14ac:dyDescent="0.25">
      <c r="A630" s="2"/>
      <c r="B630" s="2"/>
      <c r="C630" s="2"/>
      <c r="D630" s="2"/>
      <c r="E630" s="2"/>
      <c r="F630" s="2"/>
    </row>
    <row r="631" spans="1:6" ht="12.75" customHeight="1" x14ac:dyDescent="0.25">
      <c r="A631" s="2"/>
      <c r="B631" s="2"/>
      <c r="C631" s="2"/>
      <c r="D631" s="2"/>
      <c r="E631" s="2"/>
      <c r="F631" s="2"/>
    </row>
    <row r="632" spans="1:6" ht="12.75" customHeight="1" x14ac:dyDescent="0.25">
      <c r="A632" s="2"/>
      <c r="B632" s="2"/>
      <c r="C632" s="2"/>
      <c r="D632" s="2"/>
      <c r="E632" s="2"/>
      <c r="F632" s="2"/>
    </row>
    <row r="633" spans="1:6" ht="12.75" customHeight="1" x14ac:dyDescent="0.25">
      <c r="A633" s="2"/>
      <c r="B633" s="2"/>
      <c r="C633" s="2"/>
      <c r="D633" s="2"/>
      <c r="E633" s="2"/>
      <c r="F633" s="2"/>
    </row>
    <row r="634" spans="1:6" ht="12.75" customHeight="1" x14ac:dyDescent="0.25">
      <c r="A634" s="2"/>
      <c r="B634" s="2"/>
      <c r="C634" s="2"/>
      <c r="D634" s="2"/>
      <c r="E634" s="2"/>
      <c r="F634" s="2"/>
    </row>
    <row r="635" spans="1:6" ht="12.75" customHeight="1" x14ac:dyDescent="0.25">
      <c r="A635" s="2"/>
      <c r="B635" s="2"/>
      <c r="C635" s="2"/>
      <c r="D635" s="2"/>
      <c r="E635" s="2"/>
      <c r="F635" s="2"/>
    </row>
    <row r="636" spans="1:6" ht="12.75" customHeight="1" x14ac:dyDescent="0.25">
      <c r="A636" s="2"/>
      <c r="B636" s="2"/>
      <c r="C636" s="2"/>
      <c r="D636" s="2"/>
      <c r="E636" s="2"/>
      <c r="F636" s="2"/>
    </row>
    <row r="637" spans="1:6" ht="12.75" customHeight="1" x14ac:dyDescent="0.25">
      <c r="A637" s="2"/>
      <c r="B637" s="2"/>
      <c r="C637" s="2"/>
      <c r="D637" s="2"/>
      <c r="E637" s="2"/>
      <c r="F637" s="2"/>
    </row>
    <row r="638" spans="1:6" ht="12.75" customHeight="1" x14ac:dyDescent="0.25">
      <c r="A638" s="2"/>
      <c r="B638" s="2"/>
      <c r="C638" s="2"/>
      <c r="D638" s="2"/>
      <c r="E638" s="2"/>
      <c r="F638" s="2"/>
    </row>
    <row r="639" spans="1:6" ht="12.75" customHeight="1" x14ac:dyDescent="0.25">
      <c r="A639" s="2"/>
      <c r="B639" s="2"/>
      <c r="C639" s="2"/>
      <c r="D639" s="2"/>
      <c r="E639" s="2"/>
      <c r="F639" s="2"/>
    </row>
    <row r="640" spans="1:6" ht="12.75" customHeight="1" x14ac:dyDescent="0.25">
      <c r="A640" s="2"/>
      <c r="B640" s="2"/>
      <c r="C640" s="2"/>
      <c r="D640" s="2"/>
      <c r="E640" s="2"/>
      <c r="F640" s="2"/>
    </row>
    <row r="641" spans="1:6" ht="12.75" customHeight="1" x14ac:dyDescent="0.25">
      <c r="A641" s="2"/>
      <c r="B641" s="2"/>
      <c r="C641" s="2"/>
      <c r="D641" s="2"/>
      <c r="E641" s="2"/>
      <c r="F641" s="2"/>
    </row>
    <row r="642" spans="1:6" ht="12.75" customHeight="1" x14ac:dyDescent="0.25">
      <c r="A642" s="2"/>
      <c r="B642" s="2"/>
      <c r="C642" s="2"/>
      <c r="D642" s="2"/>
      <c r="E642" s="2"/>
      <c r="F642" s="2"/>
    </row>
    <row r="643" spans="1:6" ht="12.75" customHeight="1" x14ac:dyDescent="0.25">
      <c r="A643" s="2"/>
      <c r="B643" s="2"/>
      <c r="C643" s="2"/>
      <c r="D643" s="2"/>
      <c r="E643" s="2"/>
      <c r="F643" s="2"/>
    </row>
    <row r="644" spans="1:6" ht="12.75" customHeight="1" x14ac:dyDescent="0.25">
      <c r="A644" s="2"/>
      <c r="B644" s="2"/>
      <c r="C644" s="2"/>
      <c r="D644" s="2"/>
      <c r="E644" s="2"/>
      <c r="F644" s="2"/>
    </row>
    <row r="645" spans="1:6" ht="12.75" customHeight="1" x14ac:dyDescent="0.25">
      <c r="A645" s="2"/>
      <c r="B645" s="2"/>
      <c r="C645" s="2"/>
      <c r="D645" s="2"/>
      <c r="E645" s="2"/>
      <c r="F645" s="2"/>
    </row>
    <row r="646" spans="1:6" ht="12.75" customHeight="1" x14ac:dyDescent="0.25">
      <c r="A646" s="2"/>
      <c r="B646" s="2"/>
      <c r="C646" s="2"/>
      <c r="D646" s="2"/>
      <c r="E646" s="2"/>
      <c r="F646" s="2"/>
    </row>
    <row r="647" spans="1:6" ht="12.75" customHeight="1" x14ac:dyDescent="0.25">
      <c r="A647" s="2"/>
      <c r="B647" s="2"/>
      <c r="C647" s="2"/>
      <c r="D647" s="2"/>
      <c r="E647" s="2"/>
      <c r="F647" s="2"/>
    </row>
    <row r="648" spans="1:6" ht="12.75" customHeight="1" x14ac:dyDescent="0.25">
      <c r="A648" s="2"/>
      <c r="B648" s="2"/>
      <c r="C648" s="2"/>
      <c r="D648" s="2"/>
      <c r="E648" s="2"/>
      <c r="F648" s="2"/>
    </row>
    <row r="649" spans="1:6" ht="12.75" customHeight="1" x14ac:dyDescent="0.25">
      <c r="A649" s="2"/>
      <c r="B649" s="2"/>
      <c r="C649" s="2"/>
      <c r="D649" s="2"/>
      <c r="E649" s="2"/>
      <c r="F649" s="2"/>
    </row>
    <row r="650" spans="1:6" ht="12.75" customHeight="1" x14ac:dyDescent="0.25">
      <c r="A650" s="2"/>
      <c r="B650" s="2"/>
      <c r="C650" s="2"/>
      <c r="D650" s="2"/>
      <c r="E650" s="2"/>
      <c r="F650" s="2"/>
    </row>
    <row r="651" spans="1:6" ht="12.75" customHeight="1" x14ac:dyDescent="0.25">
      <c r="A651" s="2"/>
      <c r="B651" s="2"/>
      <c r="C651" s="2"/>
      <c r="D651" s="2"/>
      <c r="E651" s="2"/>
      <c r="F651" s="2"/>
    </row>
    <row r="652" spans="1:6" ht="12.75" customHeight="1" x14ac:dyDescent="0.25">
      <c r="A652" s="2"/>
      <c r="B652" s="2"/>
      <c r="C652" s="2"/>
      <c r="D652" s="2"/>
      <c r="E652" s="2"/>
      <c r="F652" s="2"/>
    </row>
    <row r="653" spans="1:6" ht="12.75" customHeight="1" x14ac:dyDescent="0.25">
      <c r="A653" s="2"/>
      <c r="B653" s="2"/>
      <c r="C653" s="2"/>
      <c r="D653" s="2"/>
      <c r="E653" s="2"/>
      <c r="F653" s="2"/>
    </row>
    <row r="654" spans="1:6" ht="12.75" customHeight="1" x14ac:dyDescent="0.25">
      <c r="A654" s="2"/>
      <c r="B654" s="2"/>
      <c r="C654" s="2"/>
      <c r="D654" s="2"/>
      <c r="E654" s="2"/>
      <c r="F654" s="2"/>
    </row>
    <row r="655" spans="1:6" ht="12.75" customHeight="1" x14ac:dyDescent="0.25">
      <c r="A655" s="2"/>
      <c r="B655" s="2"/>
      <c r="C655" s="2"/>
      <c r="D655" s="2"/>
      <c r="E655" s="2"/>
      <c r="F655" s="2"/>
    </row>
    <row r="656" spans="1:6" ht="12.75" customHeight="1" x14ac:dyDescent="0.25">
      <c r="A656" s="2"/>
      <c r="B656" s="2"/>
      <c r="C656" s="2"/>
      <c r="D656" s="2"/>
      <c r="E656" s="2"/>
      <c r="F656" s="2"/>
    </row>
    <row r="657" spans="1:6" ht="12.75" customHeight="1" x14ac:dyDescent="0.25">
      <c r="A657" s="2"/>
      <c r="B657" s="2"/>
      <c r="C657" s="2"/>
      <c r="D657" s="2"/>
      <c r="E657" s="2"/>
      <c r="F657" s="2"/>
    </row>
    <row r="658" spans="1:6" ht="12.75" customHeight="1" x14ac:dyDescent="0.25">
      <c r="A658" s="2"/>
      <c r="B658" s="2"/>
      <c r="C658" s="2"/>
      <c r="D658" s="2"/>
      <c r="E658" s="2"/>
      <c r="F658" s="2"/>
    </row>
    <row r="659" spans="1:6" ht="12.75" customHeight="1" x14ac:dyDescent="0.25">
      <c r="A659" s="2"/>
      <c r="B659" s="2"/>
      <c r="C659" s="2"/>
      <c r="D659" s="2"/>
      <c r="E659" s="2"/>
      <c r="F659" s="2"/>
    </row>
    <row r="660" spans="1:6" ht="12.75" customHeight="1" x14ac:dyDescent="0.25">
      <c r="A660" s="2"/>
      <c r="B660" s="2"/>
      <c r="C660" s="2"/>
      <c r="D660" s="2"/>
      <c r="E660" s="2"/>
      <c r="F660" s="2"/>
    </row>
    <row r="661" spans="1:6" ht="12.75" customHeight="1" x14ac:dyDescent="0.25">
      <c r="A661" s="2"/>
      <c r="B661" s="2"/>
      <c r="C661" s="2"/>
      <c r="D661" s="2"/>
      <c r="E661" s="2"/>
      <c r="F661" s="2"/>
    </row>
    <row r="662" spans="1:6" ht="12.75" customHeight="1" x14ac:dyDescent="0.25">
      <c r="A662" s="2"/>
      <c r="B662" s="2"/>
      <c r="C662" s="2"/>
      <c r="D662" s="2"/>
      <c r="E662" s="2"/>
      <c r="F662" s="2"/>
    </row>
    <row r="663" spans="1:6" ht="12.75" customHeight="1" x14ac:dyDescent="0.25">
      <c r="A663" s="2"/>
      <c r="B663" s="2"/>
      <c r="C663" s="2"/>
      <c r="D663" s="2"/>
      <c r="E663" s="2"/>
      <c r="F663" s="2"/>
    </row>
    <row r="664" spans="1:6" ht="12.75" customHeight="1" x14ac:dyDescent="0.25">
      <c r="A664" s="2"/>
      <c r="B664" s="2"/>
      <c r="C664" s="2"/>
      <c r="D664" s="2"/>
      <c r="E664" s="2"/>
      <c r="F664" s="2"/>
    </row>
    <row r="665" spans="1:6" ht="12.75" customHeight="1" x14ac:dyDescent="0.25">
      <c r="A665" s="2"/>
      <c r="B665" s="2"/>
      <c r="C665" s="2"/>
      <c r="D665" s="2"/>
      <c r="E665" s="2"/>
      <c r="F665" s="2"/>
    </row>
    <row r="666" spans="1:6" ht="12.75" customHeight="1" x14ac:dyDescent="0.25">
      <c r="A666" s="2"/>
      <c r="B666" s="2"/>
      <c r="C666" s="2"/>
      <c r="D666" s="2"/>
      <c r="E666" s="2"/>
      <c r="F666" s="2"/>
    </row>
    <row r="667" spans="1:6" ht="12.75" customHeight="1" x14ac:dyDescent="0.25">
      <c r="A667" s="2"/>
      <c r="B667" s="2"/>
      <c r="C667" s="2"/>
      <c r="D667" s="2"/>
      <c r="E667" s="2"/>
      <c r="F667" s="2"/>
    </row>
    <row r="668" spans="1:6" ht="12.75" customHeight="1" x14ac:dyDescent="0.25">
      <c r="A668" s="2"/>
      <c r="B668" s="2"/>
      <c r="C668" s="2"/>
      <c r="D668" s="2"/>
      <c r="E668" s="2"/>
      <c r="F668" s="2"/>
    </row>
    <row r="669" spans="1:6" ht="12.75" customHeight="1" x14ac:dyDescent="0.25">
      <c r="A669" s="2"/>
      <c r="B669" s="2"/>
      <c r="C669" s="2"/>
      <c r="D669" s="2"/>
      <c r="E669" s="2"/>
      <c r="F669" s="2"/>
    </row>
    <row r="670" spans="1:6" ht="12.75" customHeight="1" x14ac:dyDescent="0.25">
      <c r="A670" s="2"/>
      <c r="B670" s="2"/>
      <c r="C670" s="2"/>
      <c r="D670" s="2"/>
      <c r="E670" s="2"/>
      <c r="F670" s="2"/>
    </row>
    <row r="671" spans="1:6" ht="12.75" customHeight="1" x14ac:dyDescent="0.25">
      <c r="A671" s="2"/>
      <c r="B671" s="2"/>
      <c r="C671" s="2"/>
      <c r="D671" s="2"/>
      <c r="E671" s="2"/>
      <c r="F671" s="2"/>
    </row>
    <row r="672" spans="1:6" ht="12.75" customHeight="1" x14ac:dyDescent="0.25">
      <c r="A672" s="2"/>
      <c r="B672" s="2"/>
      <c r="C672" s="2"/>
      <c r="D672" s="2"/>
      <c r="E672" s="2"/>
      <c r="F672" s="2"/>
    </row>
    <row r="673" spans="1:6" ht="12.75" customHeight="1" x14ac:dyDescent="0.25">
      <c r="A673" s="2"/>
      <c r="B673" s="2"/>
      <c r="C673" s="2"/>
      <c r="D673" s="2"/>
      <c r="E673" s="2"/>
      <c r="F673" s="2"/>
    </row>
    <row r="674" spans="1:6" ht="12.75" customHeight="1" x14ac:dyDescent="0.25">
      <c r="A674" s="2"/>
      <c r="B674" s="2"/>
      <c r="C674" s="2"/>
      <c r="D674" s="2"/>
      <c r="E674" s="2"/>
      <c r="F674" s="2"/>
    </row>
    <row r="675" spans="1:6" ht="12.75" customHeight="1" x14ac:dyDescent="0.25">
      <c r="A675" s="2"/>
      <c r="B675" s="2"/>
      <c r="C675" s="2"/>
      <c r="D675" s="2"/>
      <c r="E675" s="2"/>
      <c r="F675" s="2"/>
    </row>
    <row r="676" spans="1:6" ht="12.75" customHeight="1" x14ac:dyDescent="0.25">
      <c r="A676" s="2"/>
      <c r="B676" s="2"/>
      <c r="C676" s="2"/>
      <c r="D676" s="2"/>
      <c r="E676" s="2"/>
      <c r="F676" s="2"/>
    </row>
    <row r="677" spans="1:6" ht="12.75" customHeight="1" x14ac:dyDescent="0.25">
      <c r="A677" s="2"/>
      <c r="B677" s="2"/>
      <c r="C677" s="2"/>
      <c r="D677" s="2"/>
      <c r="E677" s="2"/>
      <c r="F677" s="2"/>
    </row>
    <row r="678" spans="1:6" ht="12.75" customHeight="1" x14ac:dyDescent="0.25">
      <c r="A678" s="2"/>
      <c r="B678" s="2"/>
      <c r="C678" s="2"/>
      <c r="D678" s="2"/>
      <c r="E678" s="2"/>
      <c r="F678" s="2"/>
    </row>
    <row r="679" spans="1:6" ht="12.75" customHeight="1" x14ac:dyDescent="0.25">
      <c r="A679" s="2"/>
      <c r="B679" s="2"/>
      <c r="C679" s="2"/>
      <c r="D679" s="2"/>
      <c r="E679" s="2"/>
      <c r="F679" s="2"/>
    </row>
    <row r="680" spans="1:6" ht="12.75" customHeight="1" x14ac:dyDescent="0.25">
      <c r="A680" s="2"/>
      <c r="B680" s="2"/>
      <c r="C680" s="2"/>
      <c r="D680" s="2"/>
      <c r="E680" s="2"/>
      <c r="F680" s="2"/>
    </row>
    <row r="681" spans="1:6" ht="12.75" customHeight="1" x14ac:dyDescent="0.25">
      <c r="A681" s="2"/>
      <c r="B681" s="2"/>
      <c r="C681" s="2"/>
      <c r="D681" s="2"/>
      <c r="E681" s="2"/>
      <c r="F681" s="2"/>
    </row>
    <row r="682" spans="1:6" ht="12.75" customHeight="1" x14ac:dyDescent="0.25">
      <c r="A682" s="2"/>
      <c r="B682" s="2"/>
      <c r="C682" s="2"/>
      <c r="D682" s="2"/>
      <c r="E682" s="2"/>
      <c r="F682" s="2"/>
    </row>
    <row r="683" spans="1:6" ht="12.75" customHeight="1" x14ac:dyDescent="0.25">
      <c r="A683" s="2"/>
      <c r="B683" s="2"/>
      <c r="C683" s="2"/>
      <c r="D683" s="2"/>
      <c r="E683" s="2"/>
      <c r="F683" s="2"/>
    </row>
    <row r="684" spans="1:6" ht="12.75" customHeight="1" x14ac:dyDescent="0.25">
      <c r="A684" s="2"/>
      <c r="B684" s="2"/>
      <c r="C684" s="2"/>
      <c r="D684" s="2"/>
      <c r="E684" s="2"/>
      <c r="F684" s="2"/>
    </row>
    <row r="685" spans="1:6" ht="12.75" customHeight="1" x14ac:dyDescent="0.25">
      <c r="A685" s="2"/>
      <c r="B685" s="2"/>
      <c r="C685" s="2"/>
      <c r="D685" s="2"/>
      <c r="E685" s="2"/>
      <c r="F685" s="2"/>
    </row>
    <row r="686" spans="1:6" ht="12.75" customHeight="1" x14ac:dyDescent="0.25">
      <c r="A686" s="2"/>
      <c r="B686" s="2"/>
      <c r="C686" s="2"/>
      <c r="D686" s="2"/>
      <c r="E686" s="2"/>
      <c r="F686" s="2"/>
    </row>
    <row r="687" spans="1:6" ht="12.75" customHeight="1" x14ac:dyDescent="0.25">
      <c r="A687" s="2"/>
      <c r="B687" s="2"/>
      <c r="C687" s="2"/>
      <c r="D687" s="2"/>
      <c r="E687" s="2"/>
      <c r="F687" s="2"/>
    </row>
    <row r="688" spans="1:6" ht="12.75" customHeight="1" x14ac:dyDescent="0.25">
      <c r="A688" s="2"/>
      <c r="B688" s="2"/>
      <c r="C688" s="2"/>
      <c r="D688" s="2"/>
      <c r="E688" s="2"/>
      <c r="F688" s="2"/>
    </row>
    <row r="689" spans="1:6" ht="12.75" customHeight="1" x14ac:dyDescent="0.25">
      <c r="A689" s="2"/>
      <c r="B689" s="2"/>
      <c r="C689" s="2"/>
      <c r="D689" s="2"/>
      <c r="E689" s="2"/>
      <c r="F689" s="2"/>
    </row>
    <row r="690" spans="1:6" ht="12.75" customHeight="1" x14ac:dyDescent="0.25">
      <c r="A690" s="2"/>
      <c r="B690" s="2"/>
      <c r="C690" s="2"/>
      <c r="D690" s="2"/>
      <c r="E690" s="2"/>
      <c r="F690" s="2"/>
    </row>
    <row r="691" spans="1:6" ht="12.75" customHeight="1" x14ac:dyDescent="0.25">
      <c r="A691" s="2"/>
      <c r="B691" s="2"/>
      <c r="C691" s="2"/>
      <c r="D691" s="2"/>
      <c r="E691" s="2"/>
      <c r="F691" s="2"/>
    </row>
    <row r="692" spans="1:6" ht="12.75" customHeight="1" x14ac:dyDescent="0.25">
      <c r="A692" s="2"/>
      <c r="B692" s="2"/>
      <c r="C692" s="2"/>
      <c r="D692" s="2"/>
      <c r="E692" s="2"/>
      <c r="F692" s="2"/>
    </row>
    <row r="693" spans="1:6" ht="12.75" customHeight="1" x14ac:dyDescent="0.25">
      <c r="A693" s="2"/>
      <c r="B693" s="2"/>
      <c r="C693" s="2"/>
      <c r="D693" s="2"/>
      <c r="E693" s="2"/>
      <c r="F693" s="2"/>
    </row>
    <row r="694" spans="1:6" ht="12.75" customHeight="1" x14ac:dyDescent="0.25">
      <c r="A694" s="2"/>
      <c r="B694" s="2"/>
      <c r="C694" s="2"/>
      <c r="D694" s="2"/>
      <c r="E694" s="2"/>
      <c r="F694" s="2"/>
    </row>
    <row r="695" spans="1:6" ht="12.75" customHeight="1" x14ac:dyDescent="0.25">
      <c r="A695" s="2"/>
      <c r="B695" s="2"/>
      <c r="C695" s="2"/>
      <c r="D695" s="2"/>
      <c r="E695" s="2"/>
      <c r="F695" s="2"/>
    </row>
    <row r="696" spans="1:6" ht="12.75" customHeight="1" x14ac:dyDescent="0.25">
      <c r="A696" s="2"/>
      <c r="B696" s="2"/>
      <c r="C696" s="2"/>
      <c r="D696" s="2"/>
      <c r="E696" s="2"/>
      <c r="F696" s="2"/>
    </row>
    <row r="697" spans="1:6" ht="12.75" customHeight="1" x14ac:dyDescent="0.25">
      <c r="A697" s="2"/>
      <c r="B697" s="2"/>
      <c r="C697" s="2"/>
      <c r="D697" s="2"/>
      <c r="E697" s="2"/>
      <c r="F697" s="2"/>
    </row>
    <row r="698" spans="1:6" ht="12.75" customHeight="1" x14ac:dyDescent="0.25">
      <c r="A698" s="2"/>
      <c r="B698" s="2"/>
      <c r="C698" s="2"/>
      <c r="D698" s="2"/>
      <c r="E698" s="2"/>
      <c r="F698" s="2"/>
    </row>
    <row r="699" spans="1:6" ht="12.75" customHeight="1" x14ac:dyDescent="0.25">
      <c r="A699" s="2"/>
      <c r="B699" s="2"/>
      <c r="C699" s="2"/>
      <c r="D699" s="2"/>
      <c r="E699" s="2"/>
      <c r="F699" s="2"/>
    </row>
    <row r="700" spans="1:6" ht="12.75" customHeight="1" x14ac:dyDescent="0.25">
      <c r="A700" s="2"/>
      <c r="B700" s="2"/>
      <c r="C700" s="2"/>
      <c r="D700" s="2"/>
      <c r="E700" s="2"/>
      <c r="F700" s="2"/>
    </row>
    <row r="701" spans="1:6" ht="12.75" customHeight="1" x14ac:dyDescent="0.25">
      <c r="A701" s="2"/>
      <c r="B701" s="2"/>
      <c r="C701" s="2"/>
      <c r="D701" s="2"/>
      <c r="E701" s="2"/>
      <c r="F701" s="2"/>
    </row>
    <row r="702" spans="1:6" ht="12.75" customHeight="1" x14ac:dyDescent="0.25">
      <c r="A702" s="2"/>
      <c r="B702" s="2"/>
      <c r="C702" s="2"/>
      <c r="D702" s="2"/>
      <c r="E702" s="2"/>
      <c r="F702" s="2"/>
    </row>
    <row r="703" spans="1:6" ht="12.75" customHeight="1" x14ac:dyDescent="0.25">
      <c r="A703" s="2"/>
      <c r="B703" s="2"/>
      <c r="C703" s="2"/>
      <c r="D703" s="2"/>
      <c r="E703" s="2"/>
      <c r="F703" s="2"/>
    </row>
    <row r="704" spans="1:6" ht="12.75" customHeight="1" x14ac:dyDescent="0.25">
      <c r="A704" s="2"/>
      <c r="B704" s="2"/>
      <c r="C704" s="2"/>
      <c r="D704" s="2"/>
      <c r="E704" s="2"/>
      <c r="F704" s="2"/>
    </row>
    <row r="705" spans="1:6" ht="12.75" customHeight="1" x14ac:dyDescent="0.25">
      <c r="A705" s="2"/>
      <c r="B705" s="2"/>
      <c r="C705" s="2"/>
      <c r="D705" s="2"/>
      <c r="E705" s="2"/>
      <c r="F705" s="2"/>
    </row>
    <row r="706" spans="1:6" ht="12.75" customHeight="1" x14ac:dyDescent="0.25">
      <c r="A706" s="2"/>
      <c r="B706" s="2"/>
      <c r="C706" s="2"/>
      <c r="D706" s="2"/>
      <c r="E706" s="2"/>
      <c r="F706" s="2"/>
    </row>
    <row r="707" spans="1:6" ht="12.75" customHeight="1" x14ac:dyDescent="0.25">
      <c r="A707" s="2"/>
      <c r="B707" s="2"/>
      <c r="C707" s="2"/>
      <c r="D707" s="2"/>
      <c r="E707" s="2"/>
      <c r="F707" s="2"/>
    </row>
    <row r="708" spans="1:6" ht="12.75" customHeight="1" x14ac:dyDescent="0.25">
      <c r="A708" s="2"/>
      <c r="B708" s="2"/>
      <c r="C708" s="2"/>
      <c r="D708" s="2"/>
      <c r="E708" s="2"/>
      <c r="F708" s="2"/>
    </row>
    <row r="709" spans="1:6" ht="12.75" customHeight="1" x14ac:dyDescent="0.25">
      <c r="A709" s="2"/>
      <c r="B709" s="2"/>
      <c r="C709" s="2"/>
      <c r="D709" s="2"/>
      <c r="E709" s="2"/>
      <c r="F709" s="2"/>
    </row>
    <row r="710" spans="1:6" ht="12.75" customHeight="1" x14ac:dyDescent="0.25">
      <c r="A710" s="2"/>
      <c r="B710" s="2"/>
      <c r="C710" s="2"/>
      <c r="D710" s="2"/>
      <c r="E710" s="2"/>
      <c r="F710" s="2"/>
    </row>
    <row r="711" spans="1:6" ht="12.75" customHeight="1" x14ac:dyDescent="0.25">
      <c r="A711" s="2"/>
      <c r="B711" s="2"/>
      <c r="C711" s="2"/>
      <c r="D711" s="2"/>
      <c r="E711" s="2"/>
      <c r="F711" s="2"/>
    </row>
    <row r="712" spans="1:6" ht="12.75" customHeight="1" x14ac:dyDescent="0.25">
      <c r="A712" s="2"/>
      <c r="B712" s="2"/>
      <c r="C712" s="2"/>
      <c r="D712" s="2"/>
      <c r="E712" s="2"/>
      <c r="F712" s="2"/>
    </row>
    <row r="713" spans="1:6" ht="12.75" customHeight="1" x14ac:dyDescent="0.25">
      <c r="A713" s="2"/>
      <c r="B713" s="2"/>
      <c r="C713" s="2"/>
      <c r="D713" s="2"/>
      <c r="E713" s="2"/>
      <c r="F713" s="2"/>
    </row>
    <row r="714" spans="1:6" ht="12.75" customHeight="1" x14ac:dyDescent="0.25">
      <c r="A714" s="2"/>
      <c r="B714" s="2"/>
      <c r="C714" s="2"/>
      <c r="D714" s="2"/>
      <c r="E714" s="2"/>
      <c r="F714" s="2"/>
    </row>
    <row r="715" spans="1:6" ht="12.75" customHeight="1" x14ac:dyDescent="0.25">
      <c r="A715" s="2"/>
      <c r="B715" s="2"/>
      <c r="C715" s="2"/>
      <c r="D715" s="2"/>
      <c r="E715" s="2"/>
      <c r="F715" s="2"/>
    </row>
    <row r="716" spans="1:6" ht="12.75" customHeight="1" x14ac:dyDescent="0.25">
      <c r="A716" s="2"/>
      <c r="B716" s="2"/>
      <c r="C716" s="2"/>
      <c r="D716" s="2"/>
      <c r="E716" s="2"/>
      <c r="F716" s="2"/>
    </row>
    <row r="717" spans="1:6" ht="12.75" customHeight="1" x14ac:dyDescent="0.25">
      <c r="A717" s="2"/>
      <c r="B717" s="2"/>
      <c r="C717" s="2"/>
      <c r="D717" s="2"/>
      <c r="E717" s="2"/>
      <c r="F717" s="2"/>
    </row>
    <row r="718" spans="1:6" ht="12.75" customHeight="1" x14ac:dyDescent="0.25">
      <c r="A718" s="2"/>
      <c r="B718" s="2"/>
      <c r="C718" s="2"/>
      <c r="D718" s="2"/>
      <c r="E718" s="2"/>
      <c r="F718" s="2"/>
    </row>
    <row r="719" spans="1:6" ht="12.75" customHeight="1" x14ac:dyDescent="0.25">
      <c r="A719" s="2"/>
      <c r="B719" s="2"/>
      <c r="C719" s="2"/>
      <c r="D719" s="2"/>
      <c r="E719" s="2"/>
      <c r="F719" s="2"/>
    </row>
    <row r="720" spans="1:6" ht="12.75" customHeight="1" x14ac:dyDescent="0.25">
      <c r="A720" s="2"/>
      <c r="B720" s="2"/>
      <c r="C720" s="2"/>
      <c r="D720" s="2"/>
      <c r="E720" s="2"/>
      <c r="F720" s="2"/>
    </row>
    <row r="721" spans="1:6" ht="12.75" customHeight="1" x14ac:dyDescent="0.25">
      <c r="A721" s="2"/>
      <c r="B721" s="2"/>
      <c r="C721" s="2"/>
      <c r="D721" s="2"/>
      <c r="E721" s="2"/>
      <c r="F721" s="2"/>
    </row>
    <row r="722" spans="1:6" ht="12.75" customHeight="1" x14ac:dyDescent="0.25">
      <c r="A722" s="2"/>
      <c r="B722" s="2"/>
      <c r="C722" s="2"/>
      <c r="D722" s="2"/>
      <c r="E722" s="2"/>
      <c r="F722" s="2"/>
    </row>
    <row r="723" spans="1:6" ht="12.75" customHeight="1" x14ac:dyDescent="0.25">
      <c r="A723" s="2"/>
      <c r="B723" s="2"/>
      <c r="C723" s="2"/>
      <c r="D723" s="2"/>
      <c r="E723" s="2"/>
      <c r="F723" s="2"/>
    </row>
    <row r="724" spans="1:6" ht="12.75" customHeight="1" x14ac:dyDescent="0.25">
      <c r="A724" s="2"/>
      <c r="B724" s="2"/>
      <c r="C724" s="2"/>
      <c r="D724" s="2"/>
      <c r="E724" s="2"/>
      <c r="F724" s="2"/>
    </row>
    <row r="725" spans="1:6" ht="12.75" customHeight="1" x14ac:dyDescent="0.25">
      <c r="A725" s="2"/>
      <c r="B725" s="2"/>
      <c r="C725" s="2"/>
      <c r="D725" s="2"/>
      <c r="E725" s="2"/>
      <c r="F725" s="2"/>
    </row>
    <row r="726" spans="1:6" ht="12.75" customHeight="1" x14ac:dyDescent="0.25">
      <c r="A726" s="2"/>
      <c r="B726" s="2"/>
      <c r="C726" s="2"/>
      <c r="D726" s="2"/>
      <c r="E726" s="2"/>
      <c r="F726" s="2"/>
    </row>
    <row r="727" spans="1:6" ht="12.75" customHeight="1" x14ac:dyDescent="0.25">
      <c r="A727" s="2"/>
      <c r="B727" s="2"/>
      <c r="C727" s="2"/>
      <c r="D727" s="2"/>
      <c r="E727" s="2"/>
      <c r="F727" s="2"/>
    </row>
    <row r="728" spans="1:6" ht="12.75" customHeight="1" x14ac:dyDescent="0.25">
      <c r="A728" s="2"/>
      <c r="B728" s="2"/>
      <c r="C728" s="2"/>
      <c r="D728" s="2"/>
      <c r="E728" s="2"/>
      <c r="F728" s="2"/>
    </row>
    <row r="729" spans="1:6" ht="12.75" customHeight="1" x14ac:dyDescent="0.25">
      <c r="A729" s="2"/>
      <c r="B729" s="2"/>
      <c r="C729" s="2"/>
      <c r="D729" s="2"/>
      <c r="E729" s="2"/>
      <c r="F729" s="2"/>
    </row>
    <row r="730" spans="1:6" ht="12.75" customHeight="1" x14ac:dyDescent="0.25">
      <c r="A730" s="2"/>
      <c r="B730" s="2"/>
      <c r="C730" s="2"/>
      <c r="D730" s="2"/>
      <c r="E730" s="2"/>
      <c r="F730" s="2"/>
    </row>
    <row r="731" spans="1:6" ht="12.75" customHeight="1" x14ac:dyDescent="0.25">
      <c r="A731" s="2"/>
      <c r="B731" s="2"/>
      <c r="C731" s="2"/>
      <c r="D731" s="2"/>
      <c r="E731" s="2"/>
      <c r="F731" s="2"/>
    </row>
    <row r="732" spans="1:6" ht="12.75" customHeight="1" x14ac:dyDescent="0.25">
      <c r="A732" s="2"/>
      <c r="B732" s="2"/>
      <c r="C732" s="2"/>
      <c r="D732" s="2"/>
      <c r="E732" s="2"/>
      <c r="F732" s="2"/>
    </row>
    <row r="733" spans="1:6" ht="12.75" customHeight="1" x14ac:dyDescent="0.25">
      <c r="A733" s="2"/>
      <c r="B733" s="2"/>
      <c r="C733" s="2"/>
      <c r="D733" s="2"/>
      <c r="E733" s="2"/>
      <c r="F733" s="2"/>
    </row>
    <row r="734" spans="1:6" ht="12.75" customHeight="1" x14ac:dyDescent="0.25">
      <c r="A734" s="2"/>
      <c r="B734" s="2"/>
      <c r="C734" s="2"/>
      <c r="D734" s="2"/>
      <c r="E734" s="2"/>
      <c r="F734" s="2"/>
    </row>
    <row r="735" spans="1:6" ht="12.75" customHeight="1" x14ac:dyDescent="0.25">
      <c r="A735" s="2"/>
      <c r="B735" s="2"/>
      <c r="C735" s="2"/>
      <c r="D735" s="2"/>
      <c r="E735" s="2"/>
      <c r="F735" s="2"/>
    </row>
    <row r="736" spans="1:6" ht="12.75" customHeight="1" x14ac:dyDescent="0.25">
      <c r="A736" s="2"/>
      <c r="B736" s="2"/>
      <c r="C736" s="2"/>
      <c r="D736" s="2"/>
      <c r="E736" s="2"/>
      <c r="F736" s="2"/>
    </row>
    <row r="737" spans="1:6" ht="12.75" customHeight="1" x14ac:dyDescent="0.25">
      <c r="A737" s="2"/>
      <c r="B737" s="2"/>
      <c r="C737" s="2"/>
      <c r="D737" s="2"/>
      <c r="E737" s="2"/>
      <c r="F737" s="2"/>
    </row>
    <row r="738" spans="1:6" ht="12.75" customHeight="1" x14ac:dyDescent="0.25">
      <c r="A738" s="2"/>
      <c r="B738" s="2"/>
      <c r="C738" s="2"/>
      <c r="D738" s="2"/>
      <c r="E738" s="2"/>
      <c r="F738" s="2"/>
    </row>
    <row r="739" spans="1:6" ht="12.75" customHeight="1" x14ac:dyDescent="0.25">
      <c r="A739" s="2"/>
      <c r="B739" s="2"/>
      <c r="C739" s="2"/>
      <c r="D739" s="2"/>
      <c r="E739" s="2"/>
      <c r="F739" s="2"/>
    </row>
    <row r="740" spans="1:6" ht="12.75" customHeight="1" x14ac:dyDescent="0.25">
      <c r="A740" s="2"/>
      <c r="B740" s="2"/>
      <c r="C740" s="2"/>
      <c r="D740" s="2"/>
      <c r="E740" s="2"/>
      <c r="F740" s="2"/>
    </row>
    <row r="741" spans="1:6" ht="12.75" customHeight="1" x14ac:dyDescent="0.25">
      <c r="A741" s="2"/>
      <c r="B741" s="2"/>
      <c r="C741" s="2"/>
      <c r="D741" s="2"/>
      <c r="E741" s="2"/>
      <c r="F741" s="2"/>
    </row>
    <row r="742" spans="1:6" ht="12.75" customHeight="1" x14ac:dyDescent="0.25">
      <c r="A742" s="2"/>
      <c r="B742" s="2"/>
      <c r="C742" s="2"/>
      <c r="D742" s="2"/>
      <c r="E742" s="2"/>
      <c r="F742" s="2"/>
    </row>
    <row r="743" spans="1:6" ht="12.75" customHeight="1" x14ac:dyDescent="0.25">
      <c r="A743" s="2"/>
      <c r="B743" s="2"/>
      <c r="C743" s="2"/>
      <c r="D743" s="2"/>
      <c r="E743" s="2"/>
      <c r="F743" s="2"/>
    </row>
    <row r="744" spans="1:6" ht="12.75" customHeight="1" x14ac:dyDescent="0.25">
      <c r="A744" s="2"/>
      <c r="B744" s="2"/>
      <c r="C744" s="2"/>
      <c r="D744" s="2"/>
      <c r="E744" s="2"/>
      <c r="F744" s="2"/>
    </row>
    <row r="745" spans="1:6" ht="12.75" customHeight="1" x14ac:dyDescent="0.25">
      <c r="A745" s="2"/>
      <c r="B745" s="2"/>
      <c r="C745" s="2"/>
      <c r="D745" s="2"/>
      <c r="E745" s="2"/>
      <c r="F745" s="2"/>
    </row>
    <row r="746" spans="1:6" ht="12.75" customHeight="1" x14ac:dyDescent="0.25">
      <c r="A746" s="2"/>
      <c r="B746" s="2"/>
      <c r="C746" s="2"/>
      <c r="D746" s="2"/>
      <c r="E746" s="2"/>
      <c r="F746" s="2"/>
    </row>
    <row r="747" spans="1:6" ht="12.75" customHeight="1" x14ac:dyDescent="0.25">
      <c r="A747" s="2"/>
      <c r="B747" s="2"/>
      <c r="C747" s="2"/>
      <c r="D747" s="2"/>
      <c r="E747" s="2"/>
      <c r="F747" s="2"/>
    </row>
    <row r="748" spans="1:6" ht="12.75" customHeight="1" x14ac:dyDescent="0.25">
      <c r="A748" s="2"/>
      <c r="B748" s="2"/>
      <c r="C748" s="2"/>
      <c r="D748" s="2"/>
      <c r="E748" s="2"/>
      <c r="F748" s="2"/>
    </row>
    <row r="749" spans="1:6" ht="12.75" customHeight="1" x14ac:dyDescent="0.25">
      <c r="A749" s="2"/>
      <c r="B749" s="2"/>
      <c r="C749" s="2"/>
      <c r="D749" s="2"/>
      <c r="E749" s="2"/>
      <c r="F749" s="2"/>
    </row>
    <row r="750" spans="1:6" ht="12.75" customHeight="1" x14ac:dyDescent="0.25">
      <c r="A750" s="2"/>
      <c r="B750" s="2"/>
      <c r="C750" s="2"/>
      <c r="D750" s="2"/>
      <c r="E750" s="2"/>
      <c r="F750" s="2"/>
    </row>
    <row r="751" spans="1:6" ht="12.75" customHeight="1" x14ac:dyDescent="0.25">
      <c r="A751" s="2"/>
      <c r="B751" s="2"/>
      <c r="C751" s="2"/>
      <c r="D751" s="2"/>
      <c r="E751" s="2"/>
      <c r="F751" s="2"/>
    </row>
    <row r="752" spans="1:6" ht="12.75" customHeight="1" x14ac:dyDescent="0.25">
      <c r="A752" s="2"/>
      <c r="B752" s="2"/>
      <c r="C752" s="2"/>
      <c r="D752" s="2"/>
      <c r="E752" s="2"/>
      <c r="F752" s="2"/>
    </row>
    <row r="753" spans="1:6" ht="12.75" customHeight="1" x14ac:dyDescent="0.25">
      <c r="A753" s="2"/>
      <c r="B753" s="2"/>
      <c r="C753" s="2"/>
      <c r="D753" s="2"/>
      <c r="E753" s="2"/>
      <c r="F753" s="2"/>
    </row>
    <row r="754" spans="1:6" ht="12.75" customHeight="1" x14ac:dyDescent="0.25">
      <c r="A754" s="2"/>
      <c r="B754" s="2"/>
      <c r="C754" s="2"/>
      <c r="D754" s="2"/>
      <c r="E754" s="2"/>
      <c r="F754" s="2"/>
    </row>
    <row r="755" spans="1:6" ht="12.75" customHeight="1" x14ac:dyDescent="0.25">
      <c r="A755" s="2"/>
      <c r="B755" s="2"/>
      <c r="C755" s="2"/>
      <c r="D755" s="2"/>
      <c r="E755" s="2"/>
      <c r="F755" s="2"/>
    </row>
    <row r="756" spans="1:6" ht="12.75" customHeight="1" x14ac:dyDescent="0.25">
      <c r="A756" s="2"/>
      <c r="B756" s="2"/>
      <c r="C756" s="2"/>
      <c r="D756" s="2"/>
      <c r="E756" s="2"/>
      <c r="F756" s="2"/>
    </row>
    <row r="757" spans="1:6" ht="12.75" customHeight="1" x14ac:dyDescent="0.25">
      <c r="A757" s="2"/>
      <c r="B757" s="2"/>
      <c r="C757" s="2"/>
      <c r="D757" s="2"/>
      <c r="E757" s="2"/>
      <c r="F757" s="2"/>
    </row>
    <row r="758" spans="1:6" ht="12.75" customHeight="1" x14ac:dyDescent="0.25">
      <c r="A758" s="2"/>
      <c r="B758" s="2"/>
      <c r="C758" s="2"/>
      <c r="D758" s="2"/>
      <c r="E758" s="2"/>
      <c r="F758" s="2"/>
    </row>
    <row r="759" spans="1:6" ht="12.75" customHeight="1" x14ac:dyDescent="0.25">
      <c r="A759" s="2"/>
      <c r="B759" s="2"/>
      <c r="C759" s="2"/>
      <c r="D759" s="2"/>
      <c r="E759" s="2"/>
      <c r="F759" s="2"/>
    </row>
    <row r="760" spans="1:6" ht="12.75" customHeight="1" x14ac:dyDescent="0.25">
      <c r="A760" s="2"/>
      <c r="B760" s="2"/>
      <c r="C760" s="2"/>
      <c r="D760" s="2"/>
      <c r="E760" s="2"/>
      <c r="F760" s="2"/>
    </row>
    <row r="761" spans="1:6" ht="12.75" customHeight="1" x14ac:dyDescent="0.25">
      <c r="A761" s="2"/>
      <c r="B761" s="2"/>
      <c r="C761" s="2"/>
      <c r="D761" s="2"/>
      <c r="E761" s="2"/>
      <c r="F761" s="2"/>
    </row>
    <row r="762" spans="1:6" ht="12.75" customHeight="1" x14ac:dyDescent="0.25">
      <c r="A762" s="2"/>
      <c r="B762" s="2"/>
      <c r="C762" s="2"/>
      <c r="D762" s="2"/>
      <c r="E762" s="2"/>
      <c r="F762" s="2"/>
    </row>
    <row r="763" spans="1:6" ht="12.75" customHeight="1" x14ac:dyDescent="0.25">
      <c r="A763" s="2"/>
      <c r="B763" s="2"/>
      <c r="C763" s="2"/>
      <c r="D763" s="2"/>
      <c r="E763" s="2"/>
      <c r="F763" s="2"/>
    </row>
    <row r="764" spans="1:6" ht="12.75" customHeight="1" x14ac:dyDescent="0.25">
      <c r="A764" s="2"/>
      <c r="B764" s="2"/>
      <c r="C764" s="2"/>
      <c r="D764" s="2"/>
      <c r="E764" s="2"/>
      <c r="F764" s="2"/>
    </row>
    <row r="765" spans="1:6" ht="12.75" customHeight="1" x14ac:dyDescent="0.25">
      <c r="A765" s="2"/>
      <c r="B765" s="2"/>
      <c r="C765" s="2"/>
      <c r="D765" s="2"/>
      <c r="E765" s="2"/>
      <c r="F765" s="2"/>
    </row>
    <row r="766" spans="1:6" ht="12.75" customHeight="1" x14ac:dyDescent="0.25">
      <c r="A766" s="2"/>
      <c r="B766" s="2"/>
      <c r="C766" s="2"/>
      <c r="D766" s="2"/>
      <c r="E766" s="2"/>
      <c r="F766" s="2"/>
    </row>
    <row r="767" spans="1:6" ht="12.75" customHeight="1" x14ac:dyDescent="0.25">
      <c r="A767" s="2"/>
      <c r="B767" s="2"/>
      <c r="C767" s="2"/>
      <c r="D767" s="2"/>
      <c r="E767" s="2"/>
      <c r="F767" s="2"/>
    </row>
    <row r="768" spans="1:6" ht="12.75" customHeight="1" x14ac:dyDescent="0.25">
      <c r="A768" s="2"/>
      <c r="B768" s="2"/>
      <c r="C768" s="2"/>
      <c r="D768" s="2"/>
      <c r="E768" s="2"/>
      <c r="F768" s="2"/>
    </row>
    <row r="769" spans="1:6" ht="12.75" customHeight="1" x14ac:dyDescent="0.25">
      <c r="A769" s="2"/>
      <c r="B769" s="2"/>
      <c r="C769" s="2"/>
      <c r="D769" s="2"/>
      <c r="E769" s="2"/>
      <c r="F769" s="2"/>
    </row>
    <row r="770" spans="1:6" ht="12.75" customHeight="1" x14ac:dyDescent="0.25">
      <c r="A770" s="2"/>
      <c r="B770" s="2"/>
      <c r="C770" s="2"/>
      <c r="D770" s="2"/>
      <c r="E770" s="2"/>
      <c r="F770" s="2"/>
    </row>
    <row r="771" spans="1:6" ht="12.75" customHeight="1" x14ac:dyDescent="0.25">
      <c r="A771" s="2"/>
      <c r="B771" s="2"/>
      <c r="C771" s="2"/>
      <c r="D771" s="2"/>
      <c r="E771" s="2"/>
      <c r="F771" s="2"/>
    </row>
    <row r="772" spans="1:6" ht="12.75" customHeight="1" x14ac:dyDescent="0.25">
      <c r="A772" s="2"/>
      <c r="B772" s="2"/>
      <c r="C772" s="2"/>
      <c r="D772" s="2"/>
      <c r="E772" s="2"/>
      <c r="F772" s="2"/>
    </row>
    <row r="773" spans="1:6" ht="12.75" customHeight="1" x14ac:dyDescent="0.25">
      <c r="A773" s="2"/>
      <c r="B773" s="2"/>
      <c r="C773" s="2"/>
      <c r="D773" s="2"/>
      <c r="E773" s="2"/>
      <c r="F773" s="2"/>
    </row>
    <row r="774" spans="1:6" ht="12.75" customHeight="1" x14ac:dyDescent="0.25">
      <c r="A774" s="2"/>
      <c r="B774" s="2"/>
      <c r="C774" s="2"/>
      <c r="D774" s="2"/>
      <c r="E774" s="2"/>
      <c r="F774" s="2"/>
    </row>
    <row r="775" spans="1:6" ht="12.75" customHeight="1" x14ac:dyDescent="0.25">
      <c r="A775" s="2"/>
      <c r="B775" s="2"/>
      <c r="C775" s="2"/>
      <c r="D775" s="2"/>
      <c r="E775" s="2"/>
      <c r="F775" s="2"/>
    </row>
    <row r="776" spans="1:6" ht="12.75" customHeight="1" x14ac:dyDescent="0.25">
      <c r="A776" s="2"/>
      <c r="B776" s="2"/>
      <c r="C776" s="2"/>
      <c r="D776" s="2"/>
      <c r="E776" s="2"/>
      <c r="F776" s="2"/>
    </row>
    <row r="777" spans="1:6" ht="12.75" customHeight="1" x14ac:dyDescent="0.25">
      <c r="A777" s="2"/>
      <c r="B777" s="2"/>
      <c r="C777" s="2"/>
      <c r="D777" s="2"/>
      <c r="E777" s="2"/>
      <c r="F777" s="2"/>
    </row>
    <row r="778" spans="1:6" ht="12.75" customHeight="1" x14ac:dyDescent="0.25">
      <c r="A778" s="2"/>
      <c r="B778" s="2"/>
      <c r="C778" s="2"/>
      <c r="D778" s="2"/>
      <c r="E778" s="2"/>
      <c r="F778" s="2"/>
    </row>
    <row r="779" spans="1:6" ht="12.75" customHeight="1" x14ac:dyDescent="0.25">
      <c r="A779" s="2"/>
      <c r="B779" s="2"/>
      <c r="C779" s="2"/>
      <c r="D779" s="2"/>
      <c r="E779" s="2"/>
      <c r="F779" s="2"/>
    </row>
    <row r="780" spans="1:6" ht="12.75" customHeight="1" x14ac:dyDescent="0.25">
      <c r="A780" s="2"/>
      <c r="B780" s="2"/>
      <c r="C780" s="2"/>
      <c r="D780" s="2"/>
      <c r="E780" s="2"/>
      <c r="F780" s="2"/>
    </row>
    <row r="781" spans="1:6" ht="12.75" customHeight="1" x14ac:dyDescent="0.25">
      <c r="A781" s="2"/>
      <c r="B781" s="2"/>
      <c r="C781" s="2"/>
      <c r="D781" s="2"/>
      <c r="E781" s="2"/>
      <c r="F781" s="2"/>
    </row>
    <row r="782" spans="1:6" ht="12.75" customHeight="1" x14ac:dyDescent="0.25">
      <c r="A782" s="2"/>
      <c r="B782" s="2"/>
      <c r="C782" s="2"/>
      <c r="D782" s="2"/>
      <c r="E782" s="2"/>
      <c r="F782" s="2"/>
    </row>
    <row r="783" spans="1:6" ht="12.75" customHeight="1" x14ac:dyDescent="0.25">
      <c r="A783" s="2"/>
      <c r="B783" s="2"/>
      <c r="C783" s="2"/>
      <c r="D783" s="2"/>
      <c r="E783" s="2"/>
      <c r="F783" s="2"/>
    </row>
    <row r="784" spans="1:6" ht="12.75" customHeight="1" x14ac:dyDescent="0.25">
      <c r="A784" s="2"/>
      <c r="B784" s="2"/>
      <c r="C784" s="2"/>
      <c r="D784" s="2"/>
      <c r="E784" s="2"/>
      <c r="F784" s="2"/>
    </row>
    <row r="785" spans="1:6" ht="12.75" customHeight="1" x14ac:dyDescent="0.25">
      <c r="A785" s="2"/>
      <c r="B785" s="2"/>
      <c r="C785" s="2"/>
      <c r="D785" s="2"/>
      <c r="E785" s="2"/>
      <c r="F785" s="2"/>
    </row>
    <row r="786" spans="1:6" ht="12.75" customHeight="1" x14ac:dyDescent="0.25">
      <c r="A786" s="2"/>
      <c r="B786" s="2"/>
      <c r="C786" s="2"/>
      <c r="D786" s="2"/>
      <c r="E786" s="2"/>
      <c r="F786" s="2"/>
    </row>
    <row r="787" spans="1:6" ht="12.75" customHeight="1" x14ac:dyDescent="0.25">
      <c r="A787" s="2"/>
      <c r="B787" s="2"/>
      <c r="C787" s="2"/>
      <c r="D787" s="2"/>
      <c r="E787" s="2"/>
      <c r="F787" s="2"/>
    </row>
    <row r="788" spans="1:6" ht="12.75" customHeight="1" x14ac:dyDescent="0.25">
      <c r="A788" s="2"/>
      <c r="B788" s="2"/>
      <c r="C788" s="2"/>
      <c r="D788" s="2"/>
      <c r="E788" s="2"/>
      <c r="F788" s="2"/>
    </row>
    <row r="789" spans="1:6" ht="12.75" customHeight="1" x14ac:dyDescent="0.25">
      <c r="A789" s="2"/>
      <c r="B789" s="2"/>
      <c r="C789" s="2"/>
      <c r="D789" s="2"/>
      <c r="E789" s="2"/>
      <c r="F789" s="2"/>
    </row>
    <row r="790" spans="1:6" ht="12.75" customHeight="1" x14ac:dyDescent="0.25">
      <c r="A790" s="2"/>
      <c r="B790" s="2"/>
      <c r="C790" s="2"/>
      <c r="D790" s="2"/>
      <c r="E790" s="2"/>
      <c r="F790" s="2"/>
    </row>
    <row r="791" spans="1:6" ht="12.75" customHeight="1" x14ac:dyDescent="0.25">
      <c r="A791" s="2"/>
      <c r="B791" s="2"/>
      <c r="C791" s="2"/>
      <c r="D791" s="2"/>
      <c r="E791" s="2"/>
      <c r="F791" s="2"/>
    </row>
    <row r="792" spans="1:6" ht="12.75" customHeight="1" x14ac:dyDescent="0.25">
      <c r="A792" s="2"/>
      <c r="B792" s="2"/>
      <c r="C792" s="2"/>
      <c r="D792" s="2"/>
      <c r="E792" s="2"/>
      <c r="F792" s="2"/>
    </row>
    <row r="793" spans="1:6" ht="12.75" customHeight="1" x14ac:dyDescent="0.25">
      <c r="A793" s="2"/>
      <c r="B793" s="2"/>
      <c r="C793" s="2"/>
      <c r="D793" s="2"/>
      <c r="E793" s="2"/>
      <c r="F793" s="2"/>
    </row>
    <row r="794" spans="1:6" ht="12.75" customHeight="1" x14ac:dyDescent="0.25">
      <c r="A794" s="2"/>
      <c r="B794" s="2"/>
      <c r="C794" s="2"/>
      <c r="D794" s="2"/>
      <c r="E794" s="2"/>
      <c r="F794" s="2"/>
    </row>
    <row r="795" spans="1:6" ht="12.75" customHeight="1" x14ac:dyDescent="0.25">
      <c r="A795" s="2"/>
      <c r="B795" s="2"/>
      <c r="C795" s="2"/>
      <c r="D795" s="2"/>
      <c r="E795" s="2"/>
      <c r="F795" s="2"/>
    </row>
    <row r="796" spans="1:6" ht="12.75" customHeight="1" x14ac:dyDescent="0.25">
      <c r="A796" s="2"/>
      <c r="B796" s="2"/>
      <c r="C796" s="2"/>
      <c r="D796" s="2"/>
      <c r="E796" s="2"/>
      <c r="F796" s="2"/>
    </row>
    <row r="797" spans="1:6" ht="12.75" customHeight="1" x14ac:dyDescent="0.25">
      <c r="A797" s="2"/>
      <c r="B797" s="2"/>
      <c r="C797" s="2"/>
      <c r="D797" s="2"/>
      <c r="E797" s="2"/>
      <c r="F797" s="2"/>
    </row>
    <row r="798" spans="1:6" ht="12.75" customHeight="1" x14ac:dyDescent="0.25">
      <c r="A798" s="2"/>
      <c r="B798" s="2"/>
      <c r="C798" s="2"/>
      <c r="D798" s="2"/>
      <c r="E798" s="2"/>
      <c r="F798" s="2"/>
    </row>
    <row r="799" spans="1:6" ht="12.75" customHeight="1" x14ac:dyDescent="0.25">
      <c r="A799" s="2"/>
      <c r="B799" s="2"/>
      <c r="C799" s="2"/>
      <c r="D799" s="2"/>
      <c r="E799" s="2"/>
      <c r="F799" s="2"/>
    </row>
    <row r="800" spans="1:6" ht="12.75" customHeight="1" x14ac:dyDescent="0.25">
      <c r="A800" s="2"/>
      <c r="B800" s="2"/>
      <c r="C800" s="2"/>
      <c r="D800" s="2"/>
      <c r="E800" s="2"/>
      <c r="F800" s="2"/>
    </row>
    <row r="801" spans="1:6" ht="12.75" customHeight="1" x14ac:dyDescent="0.25">
      <c r="A801" s="2"/>
      <c r="B801" s="2"/>
      <c r="C801" s="2"/>
      <c r="D801" s="2"/>
      <c r="E801" s="2"/>
      <c r="F801" s="2"/>
    </row>
    <row r="802" spans="1:6" ht="12.75" customHeight="1" x14ac:dyDescent="0.25">
      <c r="A802" s="2"/>
      <c r="B802" s="2"/>
      <c r="C802" s="2"/>
      <c r="D802" s="2"/>
      <c r="E802" s="2"/>
      <c r="F802" s="2"/>
    </row>
    <row r="803" spans="1:6" ht="12.75" customHeight="1" x14ac:dyDescent="0.25">
      <c r="A803" s="2"/>
      <c r="B803" s="2"/>
      <c r="C803" s="2"/>
      <c r="D803" s="2"/>
      <c r="E803" s="2"/>
      <c r="F803" s="2"/>
    </row>
    <row r="804" spans="1:6" ht="12.75" customHeight="1" x14ac:dyDescent="0.25">
      <c r="A804" s="2"/>
      <c r="B804" s="2"/>
      <c r="C804" s="2"/>
      <c r="D804" s="2"/>
      <c r="E804" s="2"/>
      <c r="F804" s="2"/>
    </row>
    <row r="805" spans="1:6" ht="12.75" customHeight="1" x14ac:dyDescent="0.25">
      <c r="A805" s="2"/>
      <c r="B805" s="2"/>
      <c r="C805" s="2"/>
      <c r="D805" s="2"/>
      <c r="E805" s="2"/>
      <c r="F805" s="2"/>
    </row>
    <row r="806" spans="1:6" ht="12.75" customHeight="1" x14ac:dyDescent="0.25">
      <c r="A806" s="2"/>
      <c r="B806" s="2"/>
      <c r="C806" s="2"/>
      <c r="D806" s="2"/>
      <c r="E806" s="2"/>
      <c r="F806" s="2"/>
    </row>
    <row r="807" spans="1:6" ht="12.75" customHeight="1" x14ac:dyDescent="0.25">
      <c r="A807" s="2"/>
      <c r="B807" s="2"/>
      <c r="C807" s="2"/>
      <c r="D807" s="2"/>
      <c r="E807" s="2"/>
      <c r="F807" s="2"/>
    </row>
    <row r="808" spans="1:6" ht="12.75" customHeight="1" x14ac:dyDescent="0.25">
      <c r="A808" s="2"/>
      <c r="B808" s="2"/>
      <c r="C808" s="2"/>
      <c r="D808" s="2"/>
      <c r="E808" s="2"/>
      <c r="F808" s="2"/>
    </row>
    <row r="809" spans="1:6" ht="12.75" customHeight="1" x14ac:dyDescent="0.25">
      <c r="A809" s="2"/>
      <c r="B809" s="2"/>
      <c r="C809" s="2"/>
      <c r="D809" s="2"/>
      <c r="E809" s="2"/>
      <c r="F809" s="2"/>
    </row>
    <row r="810" spans="1:6" ht="12.75" customHeight="1" x14ac:dyDescent="0.25">
      <c r="A810" s="2"/>
      <c r="B810" s="2"/>
      <c r="C810" s="2"/>
      <c r="D810" s="2"/>
      <c r="E810" s="2"/>
      <c r="F810" s="2"/>
    </row>
    <row r="811" spans="1:6" ht="12.75" customHeight="1" x14ac:dyDescent="0.25">
      <c r="A811" s="2"/>
      <c r="B811" s="2"/>
      <c r="C811" s="2"/>
      <c r="D811" s="2"/>
      <c r="E811" s="2"/>
      <c r="F811" s="2"/>
    </row>
    <row r="812" spans="1:6" ht="12.75" customHeight="1" x14ac:dyDescent="0.25">
      <c r="A812" s="2"/>
      <c r="B812" s="2"/>
      <c r="C812" s="2"/>
      <c r="D812" s="2"/>
      <c r="E812" s="2"/>
      <c r="F812" s="2"/>
    </row>
    <row r="813" spans="1:6" ht="12.75" customHeight="1" x14ac:dyDescent="0.25">
      <c r="A813" s="2"/>
      <c r="B813" s="2"/>
      <c r="C813" s="2"/>
      <c r="D813" s="2"/>
      <c r="E813" s="2"/>
      <c r="F813" s="2"/>
    </row>
    <row r="814" spans="1:6" ht="12.75" customHeight="1" x14ac:dyDescent="0.25">
      <c r="A814" s="2"/>
      <c r="B814" s="2"/>
      <c r="C814" s="2"/>
      <c r="D814" s="2"/>
      <c r="E814" s="2"/>
      <c r="F814" s="2"/>
    </row>
    <row r="815" spans="1:6" ht="12.75" customHeight="1" x14ac:dyDescent="0.25">
      <c r="A815" s="2"/>
      <c r="B815" s="2"/>
      <c r="C815" s="2"/>
      <c r="D815" s="2"/>
      <c r="E815" s="2"/>
      <c r="F815" s="2"/>
    </row>
    <row r="816" spans="1:6" ht="12.75" customHeight="1" x14ac:dyDescent="0.25">
      <c r="A816" s="2"/>
      <c r="B816" s="2"/>
      <c r="C816" s="2"/>
      <c r="D816" s="2"/>
      <c r="E816" s="2"/>
      <c r="F816" s="2"/>
    </row>
    <row r="817" spans="1:6" ht="12.75" customHeight="1" x14ac:dyDescent="0.25">
      <c r="A817" s="2"/>
      <c r="B817" s="2"/>
      <c r="C817" s="2"/>
      <c r="D817" s="2"/>
      <c r="E817" s="2"/>
      <c r="F817" s="2"/>
    </row>
    <row r="818" spans="1:6" ht="12.75" customHeight="1" x14ac:dyDescent="0.25">
      <c r="A818" s="2"/>
      <c r="B818" s="2"/>
      <c r="C818" s="2"/>
      <c r="D818" s="2"/>
      <c r="E818" s="2"/>
      <c r="F818" s="2"/>
    </row>
    <row r="819" spans="1:6" ht="12.75" customHeight="1" x14ac:dyDescent="0.25">
      <c r="A819" s="2"/>
      <c r="B819" s="2"/>
      <c r="C819" s="2"/>
      <c r="D819" s="2"/>
      <c r="E819" s="2"/>
      <c r="F819" s="2"/>
    </row>
    <row r="820" spans="1:6" ht="12.75" customHeight="1" x14ac:dyDescent="0.25">
      <c r="A820" s="2"/>
      <c r="B820" s="2"/>
      <c r="C820" s="2"/>
      <c r="D820" s="2"/>
      <c r="E820" s="2"/>
      <c r="F820" s="2"/>
    </row>
    <row r="821" spans="1:6" ht="12.75" customHeight="1" x14ac:dyDescent="0.25">
      <c r="A821" s="2"/>
      <c r="B821" s="2"/>
      <c r="C821" s="2"/>
      <c r="D821" s="2"/>
      <c r="E821" s="2"/>
      <c r="F821" s="2"/>
    </row>
    <row r="822" spans="1:6" ht="12.75" customHeight="1" x14ac:dyDescent="0.25">
      <c r="A822" s="2"/>
      <c r="B822" s="2"/>
      <c r="C822" s="2"/>
      <c r="D822" s="2"/>
      <c r="E822" s="2"/>
      <c r="F822" s="2"/>
    </row>
    <row r="823" spans="1:6" ht="12.75" customHeight="1" x14ac:dyDescent="0.25">
      <c r="A823" s="2"/>
      <c r="B823" s="2"/>
      <c r="C823" s="2"/>
      <c r="D823" s="2"/>
      <c r="E823" s="2"/>
      <c r="F823" s="2"/>
    </row>
    <row r="824" spans="1:6" ht="12.75" customHeight="1" x14ac:dyDescent="0.25">
      <c r="A824" s="2"/>
      <c r="B824" s="2"/>
      <c r="C824" s="2"/>
      <c r="D824" s="2"/>
      <c r="E824" s="2"/>
      <c r="F824" s="2"/>
    </row>
    <row r="825" spans="1:6" ht="12.75" customHeight="1" x14ac:dyDescent="0.25">
      <c r="A825" s="2"/>
      <c r="B825" s="2"/>
      <c r="C825" s="2"/>
      <c r="D825" s="2"/>
      <c r="E825" s="2"/>
      <c r="F825" s="2"/>
    </row>
    <row r="826" spans="1:6" ht="12.75" customHeight="1" x14ac:dyDescent="0.25">
      <c r="A826" s="2"/>
      <c r="B826" s="2"/>
      <c r="C826" s="2"/>
      <c r="D826" s="2"/>
      <c r="E826" s="2"/>
      <c r="F826" s="2"/>
    </row>
    <row r="827" spans="1:6" ht="12.75" customHeight="1" x14ac:dyDescent="0.25">
      <c r="A827" s="2"/>
      <c r="B827" s="2"/>
      <c r="C827" s="2"/>
      <c r="D827" s="2"/>
      <c r="E827" s="2"/>
      <c r="F827" s="2"/>
    </row>
    <row r="828" spans="1:6" ht="12.75" customHeight="1" x14ac:dyDescent="0.25">
      <c r="A828" s="2"/>
      <c r="B828" s="2"/>
      <c r="C828" s="2"/>
      <c r="D828" s="2"/>
      <c r="E828" s="2"/>
      <c r="F828" s="2"/>
    </row>
    <row r="829" spans="1:6" ht="12.75" customHeight="1" x14ac:dyDescent="0.25">
      <c r="A829" s="2"/>
      <c r="B829" s="2"/>
      <c r="C829" s="2"/>
      <c r="D829" s="2"/>
      <c r="E829" s="2"/>
      <c r="F829" s="2"/>
    </row>
    <row r="830" spans="1:6" ht="12.75" customHeight="1" x14ac:dyDescent="0.25">
      <c r="A830" s="2"/>
      <c r="B830" s="2"/>
      <c r="C830" s="2"/>
      <c r="D830" s="2"/>
      <c r="E830" s="2"/>
      <c r="F830" s="2"/>
    </row>
    <row r="831" spans="1:6" ht="12.75" customHeight="1" x14ac:dyDescent="0.25">
      <c r="A831" s="2"/>
      <c r="B831" s="2"/>
      <c r="C831" s="2"/>
      <c r="D831" s="2"/>
      <c r="E831" s="2"/>
      <c r="F831" s="2"/>
    </row>
    <row r="832" spans="1:6" ht="12.75" customHeight="1" x14ac:dyDescent="0.25">
      <c r="A832" s="2"/>
      <c r="B832" s="2"/>
      <c r="C832" s="2"/>
      <c r="D832" s="2"/>
      <c r="E832" s="2"/>
      <c r="F832" s="2"/>
    </row>
    <row r="833" spans="1:6" ht="12.75" customHeight="1" x14ac:dyDescent="0.25">
      <c r="A833" s="2"/>
      <c r="B833" s="2"/>
      <c r="C833" s="2"/>
      <c r="D833" s="2"/>
      <c r="E833" s="2"/>
      <c r="F833" s="2"/>
    </row>
    <row r="834" spans="1:6" ht="12.75" customHeight="1" x14ac:dyDescent="0.25">
      <c r="A834" s="2"/>
      <c r="B834" s="2"/>
      <c r="C834" s="2"/>
      <c r="D834" s="2"/>
      <c r="E834" s="2"/>
      <c r="F834" s="2"/>
    </row>
    <row r="835" spans="1:6" ht="12.75" customHeight="1" x14ac:dyDescent="0.25">
      <c r="A835" s="2"/>
      <c r="B835" s="2"/>
      <c r="C835" s="2"/>
      <c r="D835" s="2"/>
      <c r="E835" s="2"/>
      <c r="F835" s="2"/>
    </row>
    <row r="836" spans="1:6" ht="12.75" customHeight="1" x14ac:dyDescent="0.25">
      <c r="A836" s="2"/>
      <c r="B836" s="2"/>
      <c r="C836" s="2"/>
      <c r="D836" s="2"/>
      <c r="E836" s="2"/>
      <c r="F836" s="2"/>
    </row>
    <row r="837" spans="1:6" ht="12.75" customHeight="1" x14ac:dyDescent="0.25">
      <c r="A837" s="2"/>
      <c r="B837" s="2"/>
      <c r="C837" s="2"/>
      <c r="D837" s="2"/>
      <c r="E837" s="2"/>
      <c r="F837" s="2"/>
    </row>
    <row r="838" spans="1:6" ht="12.75" customHeight="1" x14ac:dyDescent="0.25">
      <c r="A838" s="2"/>
      <c r="B838" s="2"/>
      <c r="C838" s="2"/>
      <c r="D838" s="2"/>
      <c r="E838" s="2"/>
      <c r="F838" s="2"/>
    </row>
    <row r="839" spans="1:6" ht="12.75" customHeight="1" x14ac:dyDescent="0.25">
      <c r="A839" s="2"/>
      <c r="B839" s="2"/>
      <c r="C839" s="2"/>
      <c r="D839" s="2"/>
      <c r="E839" s="2"/>
      <c r="F839" s="2"/>
    </row>
    <row r="840" spans="1:6" ht="12.75" customHeight="1" x14ac:dyDescent="0.25">
      <c r="A840" s="2"/>
      <c r="B840" s="2"/>
      <c r="C840" s="2"/>
      <c r="D840" s="2"/>
      <c r="E840" s="2"/>
      <c r="F840" s="2"/>
    </row>
    <row r="841" spans="1:6" ht="12.75" customHeight="1" x14ac:dyDescent="0.25">
      <c r="A841" s="2"/>
      <c r="B841" s="2"/>
      <c r="C841" s="2"/>
      <c r="D841" s="2"/>
      <c r="E841" s="2"/>
      <c r="F841" s="2"/>
    </row>
    <row r="842" spans="1:6" ht="12.75" customHeight="1" x14ac:dyDescent="0.25">
      <c r="A842" s="2"/>
      <c r="B842" s="2"/>
      <c r="C842" s="2"/>
      <c r="D842" s="2"/>
      <c r="E842" s="2"/>
      <c r="F842" s="2"/>
    </row>
    <row r="843" spans="1:6" ht="12.75" customHeight="1" x14ac:dyDescent="0.25">
      <c r="A843" s="2"/>
      <c r="B843" s="2"/>
      <c r="C843" s="2"/>
      <c r="D843" s="2"/>
      <c r="E843" s="2"/>
      <c r="F843" s="2"/>
    </row>
    <row r="844" spans="1:6" ht="12.75" customHeight="1" x14ac:dyDescent="0.25">
      <c r="A844" s="2"/>
      <c r="B844" s="2"/>
      <c r="C844" s="2"/>
      <c r="D844" s="2"/>
      <c r="E844" s="2"/>
      <c r="F844" s="2"/>
    </row>
    <row r="845" spans="1:6" ht="12.75" customHeight="1" x14ac:dyDescent="0.25">
      <c r="A845" s="2"/>
      <c r="B845" s="2"/>
      <c r="C845" s="2"/>
      <c r="D845" s="2"/>
      <c r="E845" s="2"/>
      <c r="F845" s="2"/>
    </row>
    <row r="846" spans="1:6" ht="12.75" customHeight="1" x14ac:dyDescent="0.25">
      <c r="A846" s="2"/>
      <c r="B846" s="2"/>
      <c r="C846" s="2"/>
      <c r="D846" s="2"/>
      <c r="E846" s="2"/>
      <c r="F846" s="2"/>
    </row>
    <row r="847" spans="1:6" ht="12.75" customHeight="1" x14ac:dyDescent="0.25">
      <c r="A847" s="2"/>
      <c r="B847" s="2"/>
      <c r="C847" s="2"/>
      <c r="D847" s="2"/>
      <c r="E847" s="2"/>
      <c r="F847" s="2"/>
    </row>
    <row r="848" spans="1:6" ht="12.75" customHeight="1" x14ac:dyDescent="0.25">
      <c r="A848" s="2"/>
      <c r="B848" s="2"/>
      <c r="C848" s="2"/>
      <c r="D848" s="2"/>
      <c r="E848" s="2"/>
      <c r="F848" s="2"/>
    </row>
    <row r="849" spans="1:6" ht="12.75" customHeight="1" x14ac:dyDescent="0.25">
      <c r="A849" s="2"/>
      <c r="B849" s="2"/>
      <c r="C849" s="2"/>
      <c r="D849" s="2"/>
      <c r="E849" s="2"/>
      <c r="F849" s="2"/>
    </row>
    <row r="850" spans="1:6" ht="12.75" customHeight="1" x14ac:dyDescent="0.25">
      <c r="A850" s="2"/>
      <c r="B850" s="2"/>
      <c r="C850" s="2"/>
      <c r="D850" s="2"/>
      <c r="E850" s="2"/>
      <c r="F850" s="2"/>
    </row>
    <row r="851" spans="1:6" ht="12.75" customHeight="1" x14ac:dyDescent="0.25">
      <c r="A851" s="2"/>
      <c r="B851" s="2"/>
      <c r="C851" s="2"/>
      <c r="D851" s="2"/>
      <c r="E851" s="2"/>
      <c r="F851" s="2"/>
    </row>
    <row r="852" spans="1:6" ht="12.75" customHeight="1" x14ac:dyDescent="0.25">
      <c r="A852" s="2"/>
      <c r="B852" s="2"/>
      <c r="C852" s="2"/>
      <c r="D852" s="2"/>
      <c r="E852" s="2"/>
      <c r="F852" s="2"/>
    </row>
    <row r="853" spans="1:6" ht="12.75" customHeight="1" x14ac:dyDescent="0.25">
      <c r="A853" s="2"/>
      <c r="B853" s="2"/>
      <c r="C853" s="2"/>
      <c r="D853" s="2"/>
      <c r="E853" s="2"/>
      <c r="F853" s="2"/>
    </row>
    <row r="854" spans="1:6" ht="12.75" customHeight="1" x14ac:dyDescent="0.25">
      <c r="A854" s="2"/>
      <c r="B854" s="2"/>
      <c r="C854" s="2"/>
      <c r="D854" s="2"/>
      <c r="E854" s="2"/>
      <c r="F854" s="2"/>
    </row>
    <row r="855" spans="1:6" ht="12.75" customHeight="1" x14ac:dyDescent="0.25">
      <c r="A855" s="2"/>
      <c r="B855" s="2"/>
      <c r="C855" s="2"/>
      <c r="D855" s="2"/>
      <c r="E855" s="2"/>
      <c r="F855" s="2"/>
    </row>
    <row r="856" spans="1:6" ht="12.75" customHeight="1" x14ac:dyDescent="0.25">
      <c r="A856" s="2"/>
      <c r="B856" s="2"/>
      <c r="C856" s="2"/>
      <c r="D856" s="2"/>
      <c r="E856" s="2"/>
      <c r="F856" s="2"/>
    </row>
    <row r="857" spans="1:6" ht="12.75" customHeight="1" x14ac:dyDescent="0.25">
      <c r="A857" s="2"/>
      <c r="B857" s="2"/>
      <c r="C857" s="2"/>
      <c r="D857" s="2"/>
      <c r="E857" s="2"/>
      <c r="F857" s="2"/>
    </row>
    <row r="858" spans="1:6" ht="12.75" customHeight="1" x14ac:dyDescent="0.25">
      <c r="A858" s="2"/>
      <c r="B858" s="2"/>
      <c r="C858" s="2"/>
      <c r="D858" s="2"/>
      <c r="E858" s="2"/>
      <c r="F858" s="2"/>
    </row>
    <row r="859" spans="1:6" ht="12.75" customHeight="1" x14ac:dyDescent="0.25">
      <c r="A859" s="2"/>
      <c r="B859" s="2"/>
      <c r="C859" s="2"/>
      <c r="D859" s="2"/>
      <c r="E859" s="2"/>
      <c r="F859" s="2"/>
    </row>
    <row r="860" spans="1:6" ht="12.75" customHeight="1" x14ac:dyDescent="0.25">
      <c r="A860" s="2"/>
      <c r="B860" s="2"/>
      <c r="C860" s="2"/>
      <c r="D860" s="2"/>
      <c r="E860" s="2"/>
      <c r="F860" s="2"/>
    </row>
    <row r="861" spans="1:6" ht="12.75" customHeight="1" x14ac:dyDescent="0.25">
      <c r="A861" s="2"/>
      <c r="B861" s="2"/>
      <c r="C861" s="2"/>
      <c r="D861" s="2"/>
      <c r="E861" s="2"/>
      <c r="F861" s="2"/>
    </row>
    <row r="862" spans="1:6" ht="12.75" customHeight="1" x14ac:dyDescent="0.25">
      <c r="A862" s="2"/>
      <c r="B862" s="2"/>
      <c r="C862" s="2"/>
      <c r="D862" s="2"/>
      <c r="E862" s="2"/>
      <c r="F862" s="2"/>
    </row>
    <row r="863" spans="1:6" ht="12.75" customHeight="1" x14ac:dyDescent="0.25">
      <c r="A863" s="2"/>
      <c r="B863" s="2"/>
      <c r="C863" s="2"/>
      <c r="D863" s="2"/>
      <c r="E863" s="2"/>
      <c r="F863" s="2"/>
    </row>
    <row r="864" spans="1:6" ht="12.75" customHeight="1" x14ac:dyDescent="0.25">
      <c r="A864" s="2"/>
      <c r="B864" s="2"/>
      <c r="C864" s="2"/>
      <c r="D864" s="2"/>
      <c r="E864" s="2"/>
      <c r="F864" s="2"/>
    </row>
    <row r="865" spans="1:6" ht="12.75" customHeight="1" x14ac:dyDescent="0.25">
      <c r="A865" s="2"/>
      <c r="B865" s="2"/>
      <c r="C865" s="2"/>
      <c r="D865" s="2"/>
      <c r="E865" s="2"/>
      <c r="F865" s="2"/>
    </row>
    <row r="866" spans="1:6" ht="12.75" customHeight="1" x14ac:dyDescent="0.25">
      <c r="A866" s="2"/>
      <c r="B866" s="2"/>
      <c r="C866" s="2"/>
      <c r="D866" s="2"/>
      <c r="E866" s="2"/>
      <c r="F866" s="2"/>
    </row>
    <row r="867" spans="1:6" ht="12.75" customHeight="1" x14ac:dyDescent="0.25">
      <c r="A867" s="2"/>
      <c r="B867" s="2"/>
      <c r="C867" s="2"/>
      <c r="D867" s="2"/>
      <c r="E867" s="2"/>
      <c r="F867" s="2"/>
    </row>
    <row r="868" spans="1:6" ht="12.75" customHeight="1" x14ac:dyDescent="0.25">
      <c r="A868" s="2"/>
      <c r="B868" s="2"/>
      <c r="C868" s="2"/>
      <c r="D868" s="2"/>
      <c r="E868" s="2"/>
      <c r="F868" s="2"/>
    </row>
    <row r="869" spans="1:6" ht="12.75" customHeight="1" x14ac:dyDescent="0.25">
      <c r="A869" s="2"/>
      <c r="B869" s="2"/>
      <c r="C869" s="2"/>
      <c r="D869" s="2"/>
      <c r="E869" s="2"/>
      <c r="F869" s="2"/>
    </row>
    <row r="870" spans="1:6" ht="12.75" customHeight="1" x14ac:dyDescent="0.25">
      <c r="A870" s="2"/>
      <c r="B870" s="2"/>
      <c r="C870" s="2"/>
      <c r="D870" s="2"/>
      <c r="E870" s="2"/>
      <c r="F870" s="2"/>
    </row>
    <row r="871" spans="1:6" ht="12.75" customHeight="1" x14ac:dyDescent="0.25">
      <c r="A871" s="2"/>
      <c r="B871" s="2"/>
      <c r="C871" s="2"/>
      <c r="D871" s="2"/>
      <c r="E871" s="2"/>
      <c r="F871" s="2"/>
    </row>
    <row r="872" spans="1:6" ht="12.75" customHeight="1" x14ac:dyDescent="0.25">
      <c r="A872" s="2"/>
      <c r="B872" s="2"/>
      <c r="C872" s="2"/>
      <c r="D872" s="2"/>
      <c r="E872" s="2"/>
      <c r="F872" s="2"/>
    </row>
    <row r="873" spans="1:6" ht="12.75" customHeight="1" x14ac:dyDescent="0.25">
      <c r="A873" s="2"/>
      <c r="B873" s="2"/>
      <c r="C873" s="2"/>
      <c r="D873" s="2"/>
      <c r="E873" s="2"/>
      <c r="F873" s="2"/>
    </row>
    <row r="874" spans="1:6" ht="12.75" customHeight="1" x14ac:dyDescent="0.25">
      <c r="A874" s="2"/>
      <c r="B874" s="2"/>
      <c r="C874" s="2"/>
      <c r="D874" s="2"/>
      <c r="E874" s="2"/>
      <c r="F874" s="2"/>
    </row>
    <row r="875" spans="1:6" ht="12.75" customHeight="1" x14ac:dyDescent="0.25">
      <c r="A875" s="2"/>
      <c r="B875" s="2"/>
      <c r="C875" s="2"/>
      <c r="D875" s="2"/>
      <c r="E875" s="2"/>
      <c r="F875" s="2"/>
    </row>
    <row r="876" spans="1:6" ht="12.75" customHeight="1" x14ac:dyDescent="0.25">
      <c r="A876" s="2"/>
      <c r="B876" s="2"/>
      <c r="C876" s="2"/>
      <c r="D876" s="2"/>
      <c r="E876" s="2"/>
      <c r="F876" s="2"/>
    </row>
    <row r="877" spans="1:6" ht="12.75" customHeight="1" x14ac:dyDescent="0.25">
      <c r="A877" s="2"/>
      <c r="B877" s="2"/>
      <c r="C877" s="2"/>
      <c r="D877" s="2"/>
      <c r="E877" s="2"/>
      <c r="F877" s="2"/>
    </row>
    <row r="878" spans="1:6" ht="12.75" customHeight="1" x14ac:dyDescent="0.25">
      <c r="A878" s="2"/>
      <c r="B878" s="2"/>
      <c r="C878" s="2"/>
      <c r="D878" s="2"/>
      <c r="E878" s="2"/>
      <c r="F878" s="2"/>
    </row>
    <row r="879" spans="1:6" ht="12.75" customHeight="1" x14ac:dyDescent="0.25">
      <c r="A879" s="2"/>
      <c r="B879" s="2"/>
      <c r="C879" s="2"/>
      <c r="D879" s="2"/>
      <c r="E879" s="2"/>
      <c r="F879" s="2"/>
    </row>
    <row r="880" spans="1:6" ht="12.75" customHeight="1" x14ac:dyDescent="0.25">
      <c r="A880" s="2"/>
      <c r="B880" s="2"/>
      <c r="C880" s="2"/>
      <c r="D880" s="2"/>
      <c r="E880" s="2"/>
      <c r="F880" s="2"/>
    </row>
    <row r="881" spans="1:6" ht="12.75" customHeight="1" x14ac:dyDescent="0.25">
      <c r="A881" s="2"/>
      <c r="B881" s="2"/>
      <c r="C881" s="2"/>
      <c r="D881" s="2"/>
      <c r="E881" s="2"/>
      <c r="F881" s="2"/>
    </row>
    <row r="882" spans="1:6" ht="12.75" customHeight="1" x14ac:dyDescent="0.25">
      <c r="A882" s="2"/>
      <c r="B882" s="2"/>
      <c r="C882" s="2"/>
      <c r="D882" s="2"/>
      <c r="E882" s="2"/>
      <c r="F882" s="2"/>
    </row>
    <row r="883" spans="1:6" ht="12.75" customHeight="1" x14ac:dyDescent="0.25">
      <c r="A883" s="2"/>
      <c r="B883" s="2"/>
      <c r="C883" s="2"/>
      <c r="D883" s="2"/>
      <c r="E883" s="2"/>
      <c r="F883" s="2"/>
    </row>
    <row r="884" spans="1:6" ht="12.75" customHeight="1" x14ac:dyDescent="0.25">
      <c r="A884" s="2"/>
      <c r="B884" s="2"/>
      <c r="C884" s="2"/>
      <c r="D884" s="2"/>
      <c r="E884" s="2"/>
      <c r="F884" s="2"/>
    </row>
    <row r="885" spans="1:6" ht="12.75" customHeight="1" x14ac:dyDescent="0.25">
      <c r="A885" s="2"/>
      <c r="B885" s="2"/>
      <c r="C885" s="2"/>
      <c r="D885" s="2"/>
      <c r="E885" s="2"/>
      <c r="F885" s="2"/>
    </row>
    <row r="886" spans="1:6" ht="12.75" customHeight="1" x14ac:dyDescent="0.25">
      <c r="A886" s="2"/>
      <c r="B886" s="2"/>
      <c r="C886" s="2"/>
      <c r="D886" s="2"/>
      <c r="E886" s="2"/>
      <c r="F886" s="2"/>
    </row>
    <row r="887" spans="1:6" ht="12.75" customHeight="1" x14ac:dyDescent="0.25">
      <c r="A887" s="2"/>
      <c r="B887" s="2"/>
      <c r="C887" s="2"/>
      <c r="D887" s="2"/>
      <c r="E887" s="2"/>
      <c r="F887" s="2"/>
    </row>
    <row r="888" spans="1:6" ht="12.75" customHeight="1" x14ac:dyDescent="0.25">
      <c r="A888" s="2"/>
      <c r="B888" s="2"/>
      <c r="C888" s="2"/>
      <c r="D888" s="2"/>
      <c r="E888" s="2"/>
      <c r="F888" s="2"/>
    </row>
    <row r="889" spans="1:6" ht="12.75" customHeight="1" x14ac:dyDescent="0.25">
      <c r="A889" s="2"/>
      <c r="B889" s="2"/>
      <c r="C889" s="2"/>
      <c r="D889" s="2"/>
      <c r="E889" s="2"/>
      <c r="F889" s="2"/>
    </row>
    <row r="890" spans="1:6" ht="12.75" customHeight="1" x14ac:dyDescent="0.25">
      <c r="A890" s="2"/>
      <c r="B890" s="2"/>
      <c r="C890" s="2"/>
      <c r="D890" s="2"/>
      <c r="E890" s="2"/>
      <c r="F890" s="2"/>
    </row>
    <row r="891" spans="1:6" ht="12.75" customHeight="1" x14ac:dyDescent="0.25">
      <c r="A891" s="2"/>
      <c r="B891" s="2"/>
      <c r="C891" s="2"/>
      <c r="D891" s="2"/>
      <c r="E891" s="2"/>
      <c r="F891" s="2"/>
    </row>
    <row r="892" spans="1:6" ht="12.75" customHeight="1" x14ac:dyDescent="0.25">
      <c r="A892" s="2"/>
      <c r="B892" s="2"/>
      <c r="C892" s="2"/>
      <c r="D892" s="2"/>
      <c r="E892" s="2"/>
      <c r="F892" s="2"/>
    </row>
    <row r="893" spans="1:6" ht="12.75" customHeight="1" x14ac:dyDescent="0.25">
      <c r="A893" s="2"/>
      <c r="B893" s="2"/>
      <c r="C893" s="2"/>
      <c r="D893" s="2"/>
      <c r="E893" s="2"/>
      <c r="F893" s="2"/>
    </row>
    <row r="894" spans="1:6" ht="12.75" customHeight="1" x14ac:dyDescent="0.25">
      <c r="A894" s="2"/>
      <c r="B894" s="2"/>
      <c r="C894" s="2"/>
      <c r="D894" s="2"/>
      <c r="E894" s="2"/>
      <c r="F894" s="2"/>
    </row>
    <row r="895" spans="1:6" ht="12.75" customHeight="1" x14ac:dyDescent="0.25">
      <c r="A895" s="2"/>
      <c r="B895" s="2"/>
      <c r="C895" s="2"/>
      <c r="D895" s="2"/>
      <c r="E895" s="2"/>
      <c r="F895" s="2"/>
    </row>
    <row r="896" spans="1:6" ht="12.75" customHeight="1" x14ac:dyDescent="0.25">
      <c r="A896" s="2"/>
      <c r="B896" s="2"/>
      <c r="C896" s="2"/>
      <c r="D896" s="2"/>
      <c r="E896" s="2"/>
      <c r="F896" s="2"/>
    </row>
    <row r="897" spans="1:6" ht="12.75" customHeight="1" x14ac:dyDescent="0.25">
      <c r="A897" s="2"/>
      <c r="B897" s="2"/>
      <c r="C897" s="2"/>
      <c r="D897" s="2"/>
      <c r="E897" s="2"/>
      <c r="F897" s="2"/>
    </row>
    <row r="898" spans="1:6" ht="12.75" customHeight="1" x14ac:dyDescent="0.25">
      <c r="A898" s="2"/>
      <c r="B898" s="2"/>
      <c r="C898" s="2"/>
      <c r="D898" s="2"/>
      <c r="E898" s="2"/>
      <c r="F898" s="2"/>
    </row>
    <row r="899" spans="1:6" ht="12.75" customHeight="1" x14ac:dyDescent="0.25">
      <c r="A899" s="2"/>
      <c r="B899" s="2"/>
      <c r="C899" s="2"/>
      <c r="D899" s="2"/>
      <c r="E899" s="2"/>
      <c r="F899" s="2"/>
    </row>
    <row r="900" spans="1:6" ht="12.75" customHeight="1" x14ac:dyDescent="0.25">
      <c r="A900" s="2"/>
      <c r="B900" s="2"/>
      <c r="C900" s="2"/>
      <c r="D900" s="2"/>
      <c r="E900" s="2"/>
      <c r="F900" s="2"/>
    </row>
    <row r="901" spans="1:6" ht="12.75" customHeight="1" x14ac:dyDescent="0.25">
      <c r="A901" s="2"/>
      <c r="B901" s="2"/>
      <c r="C901" s="2"/>
      <c r="D901" s="2"/>
      <c r="E901" s="2"/>
      <c r="F901" s="2"/>
    </row>
    <row r="902" spans="1:6" ht="12.75" customHeight="1" x14ac:dyDescent="0.25">
      <c r="A902" s="2"/>
      <c r="B902" s="2"/>
      <c r="C902" s="2"/>
      <c r="D902" s="2"/>
      <c r="E902" s="2"/>
      <c r="F902" s="2"/>
    </row>
    <row r="903" spans="1:6" ht="12.75" customHeight="1" x14ac:dyDescent="0.25">
      <c r="A903" s="2"/>
      <c r="B903" s="2"/>
      <c r="C903" s="2"/>
      <c r="D903" s="2"/>
      <c r="E903" s="2"/>
      <c r="F903" s="2"/>
    </row>
    <row r="904" spans="1:6" ht="12.75" customHeight="1" x14ac:dyDescent="0.25">
      <c r="A904" s="2"/>
      <c r="B904" s="2"/>
      <c r="C904" s="2"/>
      <c r="D904" s="2"/>
      <c r="E904" s="2"/>
      <c r="F904" s="2"/>
    </row>
    <row r="905" spans="1:6" ht="12.75" customHeight="1" x14ac:dyDescent="0.25">
      <c r="A905" s="2"/>
      <c r="B905" s="2"/>
      <c r="C905" s="2"/>
      <c r="D905" s="2"/>
      <c r="E905" s="2"/>
      <c r="F905" s="2"/>
    </row>
    <row r="906" spans="1:6" ht="12.75" customHeight="1" x14ac:dyDescent="0.25">
      <c r="A906" s="2"/>
      <c r="B906" s="2"/>
      <c r="C906" s="2"/>
      <c r="D906" s="2"/>
      <c r="E906" s="2"/>
      <c r="F906" s="2"/>
    </row>
    <row r="907" spans="1:6" ht="12.75" customHeight="1" x14ac:dyDescent="0.25">
      <c r="A907" s="2"/>
      <c r="B907" s="2"/>
      <c r="C907" s="2"/>
      <c r="D907" s="2"/>
      <c r="E907" s="2"/>
      <c r="F907" s="2"/>
    </row>
    <row r="908" spans="1:6" ht="12.75" customHeight="1" x14ac:dyDescent="0.25">
      <c r="A908" s="2"/>
      <c r="B908" s="2"/>
      <c r="C908" s="2"/>
      <c r="D908" s="2"/>
      <c r="E908" s="2"/>
      <c r="F908" s="2"/>
    </row>
    <row r="909" spans="1:6" ht="12.75" customHeight="1" x14ac:dyDescent="0.25">
      <c r="A909" s="2"/>
      <c r="B909" s="2"/>
      <c r="C909" s="2"/>
      <c r="D909" s="2"/>
      <c r="E909" s="2"/>
      <c r="F909" s="2"/>
    </row>
    <row r="910" spans="1:6" ht="12.75" customHeight="1" x14ac:dyDescent="0.25">
      <c r="A910" s="2"/>
      <c r="B910" s="2"/>
      <c r="C910" s="2"/>
      <c r="D910" s="2"/>
      <c r="E910" s="2"/>
      <c r="F910" s="2"/>
    </row>
    <row r="911" spans="1:6" ht="12.75" customHeight="1" x14ac:dyDescent="0.25">
      <c r="A911" s="2"/>
      <c r="B911" s="2"/>
      <c r="C911" s="2"/>
      <c r="D911" s="2"/>
      <c r="E911" s="2"/>
      <c r="F911" s="2"/>
    </row>
    <row r="912" spans="1:6" ht="12.75" customHeight="1" x14ac:dyDescent="0.25">
      <c r="A912" s="2"/>
      <c r="B912" s="2"/>
      <c r="C912" s="2"/>
      <c r="D912" s="2"/>
      <c r="E912" s="2"/>
      <c r="F912" s="2"/>
    </row>
    <row r="913" spans="1:6" ht="12.75" customHeight="1" x14ac:dyDescent="0.25">
      <c r="A913" s="2"/>
      <c r="B913" s="2"/>
      <c r="C913" s="2"/>
      <c r="D913" s="2"/>
      <c r="E913" s="2"/>
      <c r="F913" s="2"/>
    </row>
    <row r="914" spans="1:6" ht="12.75" customHeight="1" x14ac:dyDescent="0.25">
      <c r="A914" s="2"/>
      <c r="B914" s="2"/>
      <c r="C914" s="2"/>
      <c r="D914" s="2"/>
      <c r="E914" s="2"/>
      <c r="F914" s="2"/>
    </row>
    <row r="915" spans="1:6" ht="12.75" customHeight="1" x14ac:dyDescent="0.25">
      <c r="A915" s="2"/>
      <c r="B915" s="2"/>
      <c r="C915" s="2"/>
      <c r="D915" s="2"/>
      <c r="E915" s="2"/>
      <c r="F915" s="2"/>
    </row>
    <row r="916" spans="1:6" ht="12.75" customHeight="1" x14ac:dyDescent="0.25">
      <c r="A916" s="2"/>
      <c r="B916" s="2"/>
      <c r="C916" s="2"/>
      <c r="D916" s="2"/>
      <c r="E916" s="2"/>
      <c r="F916" s="2"/>
    </row>
    <row r="917" spans="1:6" ht="12.75" customHeight="1" x14ac:dyDescent="0.25">
      <c r="A917" s="2"/>
      <c r="B917" s="2"/>
      <c r="C917" s="2"/>
      <c r="D917" s="2"/>
      <c r="E917" s="2"/>
      <c r="F917" s="2"/>
    </row>
    <row r="918" spans="1:6" ht="12.75" customHeight="1" x14ac:dyDescent="0.25">
      <c r="A918" s="2"/>
      <c r="B918" s="2"/>
      <c r="C918" s="2"/>
      <c r="D918" s="2"/>
      <c r="E918" s="2"/>
      <c r="F918" s="2"/>
    </row>
    <row r="919" spans="1:6" ht="12.75" customHeight="1" x14ac:dyDescent="0.25">
      <c r="A919" s="2"/>
      <c r="B919" s="2"/>
      <c r="C919" s="2"/>
      <c r="D919" s="2"/>
      <c r="E919" s="2"/>
      <c r="F919" s="2"/>
    </row>
    <row r="920" spans="1:6" ht="12.75" customHeight="1" x14ac:dyDescent="0.25">
      <c r="A920" s="2"/>
      <c r="B920" s="2"/>
      <c r="C920" s="2"/>
      <c r="D920" s="2"/>
      <c r="E920" s="2"/>
      <c r="F920" s="2"/>
    </row>
    <row r="921" spans="1:6" ht="12.75" customHeight="1" x14ac:dyDescent="0.25">
      <c r="A921" s="2"/>
      <c r="B921" s="2"/>
      <c r="C921" s="2"/>
      <c r="D921" s="2"/>
      <c r="E921" s="2"/>
      <c r="F921" s="2"/>
    </row>
    <row r="922" spans="1:6" ht="12.75" customHeight="1" x14ac:dyDescent="0.25">
      <c r="A922" s="2"/>
      <c r="B922" s="2"/>
      <c r="C922" s="2"/>
      <c r="D922" s="2"/>
      <c r="E922" s="2"/>
      <c r="F922" s="2"/>
    </row>
    <row r="923" spans="1:6" ht="12.75" customHeight="1" x14ac:dyDescent="0.25">
      <c r="A923" s="2"/>
      <c r="B923" s="2"/>
      <c r="C923" s="2"/>
      <c r="D923" s="2"/>
      <c r="E923" s="2"/>
      <c r="F923" s="2"/>
    </row>
    <row r="924" spans="1:6" ht="12.75" customHeight="1" x14ac:dyDescent="0.25">
      <c r="A924" s="2"/>
      <c r="B924" s="2"/>
      <c r="C924" s="2"/>
      <c r="D924" s="2"/>
      <c r="E924" s="2"/>
      <c r="F924" s="2"/>
    </row>
    <row r="925" spans="1:6" ht="12.75" customHeight="1" x14ac:dyDescent="0.25">
      <c r="A925" s="2"/>
      <c r="B925" s="2"/>
      <c r="C925" s="2"/>
      <c r="D925" s="2"/>
      <c r="E925" s="2"/>
      <c r="F925" s="2"/>
    </row>
    <row r="926" spans="1:6" ht="12.75" customHeight="1" x14ac:dyDescent="0.25">
      <c r="A926" s="2"/>
      <c r="B926" s="2"/>
      <c r="C926" s="2"/>
      <c r="D926" s="2"/>
      <c r="E926" s="2"/>
      <c r="F926" s="2"/>
    </row>
    <row r="927" spans="1:6" ht="12.75" customHeight="1" x14ac:dyDescent="0.25">
      <c r="A927" s="2"/>
      <c r="B927" s="2"/>
      <c r="C927" s="2"/>
      <c r="D927" s="2"/>
      <c r="E927" s="2"/>
      <c r="F927" s="2"/>
    </row>
    <row r="928" spans="1:6" ht="12.75" customHeight="1" x14ac:dyDescent="0.25">
      <c r="A928" s="2"/>
      <c r="B928" s="2"/>
      <c r="C928" s="2"/>
      <c r="D928" s="2"/>
      <c r="E928" s="2"/>
      <c r="F928" s="2"/>
    </row>
    <row r="929" spans="1:6" ht="12.75" customHeight="1" x14ac:dyDescent="0.25">
      <c r="A929" s="2"/>
      <c r="B929" s="2"/>
      <c r="C929" s="2"/>
      <c r="D929" s="2"/>
      <c r="E929" s="2"/>
      <c r="F929" s="2"/>
    </row>
    <row r="930" spans="1:6" ht="12.75" customHeight="1" x14ac:dyDescent="0.25">
      <c r="A930" s="2"/>
      <c r="B930" s="2"/>
      <c r="C930" s="2"/>
      <c r="D930" s="2"/>
      <c r="E930" s="2"/>
      <c r="F930" s="2"/>
    </row>
    <row r="931" spans="1:6" ht="12.75" customHeight="1" x14ac:dyDescent="0.25">
      <c r="A931" s="2"/>
      <c r="B931" s="2"/>
      <c r="C931" s="2"/>
      <c r="D931" s="2"/>
      <c r="E931" s="2"/>
      <c r="F931" s="2"/>
    </row>
    <row r="932" spans="1:6" ht="12.75" customHeight="1" x14ac:dyDescent="0.25">
      <c r="A932" s="2"/>
      <c r="B932" s="2"/>
      <c r="C932" s="2"/>
      <c r="D932" s="2"/>
      <c r="E932" s="2"/>
      <c r="F932" s="2"/>
    </row>
    <row r="933" spans="1:6" ht="12.75" customHeight="1" x14ac:dyDescent="0.25">
      <c r="A933" s="2"/>
      <c r="B933" s="2"/>
      <c r="C933" s="2"/>
      <c r="D933" s="2"/>
      <c r="E933" s="2"/>
      <c r="F933" s="2"/>
    </row>
    <row r="934" spans="1:6" ht="12.75" customHeight="1" x14ac:dyDescent="0.25">
      <c r="A934" s="2"/>
      <c r="B934" s="2"/>
      <c r="C934" s="2"/>
      <c r="D934" s="2"/>
      <c r="E934" s="2"/>
      <c r="F934" s="2"/>
    </row>
    <row r="935" spans="1:6" ht="12.75" customHeight="1" x14ac:dyDescent="0.25">
      <c r="A935" s="2"/>
      <c r="B935" s="2"/>
      <c r="C935" s="2"/>
      <c r="D935" s="2"/>
      <c r="E935" s="2"/>
      <c r="F935" s="2"/>
    </row>
    <row r="936" spans="1:6" ht="12.75" customHeight="1" x14ac:dyDescent="0.25">
      <c r="A936" s="2"/>
      <c r="B936" s="2"/>
      <c r="C936" s="2"/>
      <c r="D936" s="2"/>
      <c r="E936" s="2"/>
      <c r="F936" s="2"/>
    </row>
    <row r="937" spans="1:6" ht="12.75" customHeight="1" x14ac:dyDescent="0.25">
      <c r="A937" s="2"/>
      <c r="B937" s="2"/>
      <c r="C937" s="2"/>
      <c r="D937" s="2"/>
      <c r="E937" s="2"/>
      <c r="F937" s="2"/>
    </row>
    <row r="938" spans="1:6" ht="12.75" customHeight="1" x14ac:dyDescent="0.25">
      <c r="A938" s="2"/>
      <c r="B938" s="2"/>
      <c r="C938" s="2"/>
      <c r="D938" s="2"/>
      <c r="E938" s="2"/>
      <c r="F938" s="2"/>
    </row>
    <row r="939" spans="1:6" ht="12.75" customHeight="1" x14ac:dyDescent="0.25">
      <c r="A939" s="2"/>
      <c r="B939" s="2"/>
      <c r="C939" s="2"/>
      <c r="D939" s="2"/>
      <c r="E939" s="2"/>
      <c r="F939" s="2"/>
    </row>
    <row r="940" spans="1:6" ht="12.75" customHeight="1" x14ac:dyDescent="0.25">
      <c r="A940" s="2"/>
      <c r="B940" s="2"/>
      <c r="C940" s="2"/>
      <c r="D940" s="2"/>
      <c r="E940" s="2"/>
      <c r="F940" s="2"/>
    </row>
    <row r="941" spans="1:6" ht="12.75" customHeight="1" x14ac:dyDescent="0.25">
      <c r="A941" s="2"/>
      <c r="B941" s="2"/>
      <c r="C941" s="2"/>
      <c r="D941" s="2"/>
      <c r="E941" s="2"/>
      <c r="F941" s="2"/>
    </row>
    <row r="942" spans="1:6" ht="12.75" customHeight="1" x14ac:dyDescent="0.25">
      <c r="A942" s="2"/>
      <c r="B942" s="2"/>
      <c r="C942" s="2"/>
      <c r="D942" s="2"/>
      <c r="E942" s="2"/>
      <c r="F942" s="2"/>
    </row>
    <row r="943" spans="1:6" ht="12.75" customHeight="1" x14ac:dyDescent="0.25">
      <c r="A943" s="2"/>
      <c r="B943" s="2"/>
      <c r="C943" s="2"/>
      <c r="D943" s="2"/>
      <c r="E943" s="2"/>
      <c r="F943" s="2"/>
    </row>
    <row r="944" spans="1:6" ht="12.75" customHeight="1" x14ac:dyDescent="0.25">
      <c r="A944" s="2"/>
      <c r="B944" s="2"/>
      <c r="C944" s="2"/>
      <c r="D944" s="2"/>
      <c r="E944" s="2"/>
      <c r="F944" s="2"/>
    </row>
    <row r="945" spans="1:6" ht="12.75" customHeight="1" x14ac:dyDescent="0.25">
      <c r="A945" s="2"/>
      <c r="B945" s="2"/>
      <c r="C945" s="2"/>
      <c r="D945" s="2"/>
      <c r="E945" s="2"/>
      <c r="F945" s="2"/>
    </row>
    <row r="946" spans="1:6" ht="12.75" customHeight="1" x14ac:dyDescent="0.25">
      <c r="A946" s="2"/>
      <c r="B946" s="2"/>
      <c r="C946" s="2"/>
      <c r="D946" s="2"/>
      <c r="E946" s="2"/>
      <c r="F946" s="2"/>
    </row>
    <row r="947" spans="1:6" ht="12.75" customHeight="1" x14ac:dyDescent="0.25">
      <c r="A947" s="2"/>
      <c r="B947" s="2"/>
      <c r="C947" s="2"/>
      <c r="D947" s="2"/>
      <c r="E947" s="2"/>
      <c r="F947" s="2"/>
    </row>
    <row r="948" spans="1:6" ht="12.75" customHeight="1" x14ac:dyDescent="0.25">
      <c r="A948" s="2"/>
      <c r="B948" s="2"/>
      <c r="C948" s="2"/>
      <c r="D948" s="2"/>
      <c r="E948" s="2"/>
      <c r="F948" s="2"/>
    </row>
    <row r="949" spans="1:6" ht="12.75" customHeight="1" x14ac:dyDescent="0.25">
      <c r="A949" s="2"/>
      <c r="B949" s="2"/>
      <c r="C949" s="2"/>
      <c r="D949" s="2"/>
      <c r="E949" s="2"/>
      <c r="F949" s="2"/>
    </row>
    <row r="950" spans="1:6" ht="12.75" customHeight="1" x14ac:dyDescent="0.25">
      <c r="A950" s="2"/>
      <c r="B950" s="2"/>
      <c r="C950" s="2"/>
      <c r="D950" s="2"/>
      <c r="E950" s="2"/>
      <c r="F950" s="2"/>
    </row>
    <row r="951" spans="1:6" ht="12.75" customHeight="1" x14ac:dyDescent="0.25">
      <c r="A951" s="2"/>
      <c r="B951" s="2"/>
      <c r="C951" s="2"/>
      <c r="D951" s="2"/>
      <c r="E951" s="2"/>
      <c r="F951" s="2"/>
    </row>
    <row r="952" spans="1:6" ht="12.75" customHeight="1" x14ac:dyDescent="0.25">
      <c r="A952" s="2"/>
      <c r="B952" s="2"/>
      <c r="C952" s="2"/>
      <c r="D952" s="2"/>
      <c r="E952" s="2"/>
      <c r="F952" s="2"/>
    </row>
    <row r="953" spans="1:6" ht="12.75" customHeight="1" x14ac:dyDescent="0.25">
      <c r="A953" s="2"/>
      <c r="B953" s="2"/>
      <c r="C953" s="2"/>
      <c r="D953" s="2"/>
      <c r="E953" s="2"/>
      <c r="F953" s="2"/>
    </row>
    <row r="954" spans="1:6" ht="12.75" customHeight="1" x14ac:dyDescent="0.25">
      <c r="A954" s="2"/>
      <c r="B954" s="2"/>
      <c r="C954" s="2"/>
      <c r="D954" s="2"/>
      <c r="E954" s="2"/>
      <c r="F954" s="2"/>
    </row>
    <row r="955" spans="1:6" ht="12.75" customHeight="1" x14ac:dyDescent="0.25">
      <c r="A955" s="2"/>
      <c r="B955" s="2"/>
      <c r="C955" s="2"/>
      <c r="D955" s="2"/>
      <c r="E955" s="2"/>
      <c r="F955" s="2"/>
    </row>
    <row r="956" spans="1:6" ht="12.75" customHeight="1" x14ac:dyDescent="0.25">
      <c r="A956" s="2"/>
      <c r="B956" s="2"/>
      <c r="C956" s="2"/>
      <c r="D956" s="2"/>
      <c r="E956" s="2"/>
      <c r="F956" s="2"/>
    </row>
    <row r="957" spans="1:6" ht="12.75" customHeight="1" x14ac:dyDescent="0.25">
      <c r="A957" s="2"/>
      <c r="B957" s="2"/>
      <c r="C957" s="2"/>
      <c r="D957" s="2"/>
      <c r="E957" s="2"/>
      <c r="F957" s="2"/>
    </row>
    <row r="958" spans="1:6" ht="12.75" customHeight="1" x14ac:dyDescent="0.25">
      <c r="A958" s="2"/>
      <c r="B958" s="2"/>
      <c r="C958" s="2"/>
      <c r="D958" s="2"/>
      <c r="E958" s="2"/>
      <c r="F958" s="2"/>
    </row>
    <row r="959" spans="1:6" ht="12.75" customHeight="1" x14ac:dyDescent="0.25">
      <c r="A959" s="2"/>
      <c r="B959" s="2"/>
      <c r="C959" s="2"/>
      <c r="D959" s="2"/>
      <c r="E959" s="2"/>
      <c r="F959" s="2"/>
    </row>
    <row r="960" spans="1:6" ht="12.75" customHeight="1" x14ac:dyDescent="0.25">
      <c r="A960" s="2"/>
      <c r="B960" s="2"/>
      <c r="C960" s="2"/>
      <c r="D960" s="2"/>
      <c r="E960" s="2"/>
      <c r="F960" s="2"/>
    </row>
    <row r="961" spans="1:6" ht="12.75" customHeight="1" x14ac:dyDescent="0.25">
      <c r="A961" s="2"/>
      <c r="B961" s="2"/>
      <c r="C961" s="2"/>
      <c r="D961" s="2"/>
      <c r="E961" s="2"/>
      <c r="F961" s="2"/>
    </row>
    <row r="962" spans="1:6" ht="12.75" customHeight="1" x14ac:dyDescent="0.25">
      <c r="A962" s="2"/>
      <c r="B962" s="2"/>
      <c r="C962" s="2"/>
      <c r="D962" s="2"/>
      <c r="E962" s="2"/>
      <c r="F962" s="2"/>
    </row>
    <row r="963" spans="1:6" ht="12.75" customHeight="1" x14ac:dyDescent="0.25">
      <c r="A963" s="2"/>
      <c r="B963" s="2"/>
      <c r="C963" s="2"/>
      <c r="D963" s="2"/>
      <c r="E963" s="2"/>
      <c r="F963" s="2"/>
    </row>
    <row r="964" spans="1:6" ht="12.75" customHeight="1" x14ac:dyDescent="0.25">
      <c r="A964" s="2"/>
      <c r="B964" s="2"/>
      <c r="C964" s="2"/>
      <c r="D964" s="2"/>
      <c r="E964" s="2"/>
      <c r="F964" s="2"/>
    </row>
    <row r="965" spans="1:6" ht="12.75" customHeight="1" x14ac:dyDescent="0.25">
      <c r="A965" s="2"/>
      <c r="B965" s="2"/>
      <c r="C965" s="2"/>
      <c r="D965" s="2"/>
      <c r="E965" s="2"/>
      <c r="F965" s="2"/>
    </row>
    <row r="966" spans="1:6" ht="12.75" customHeight="1" x14ac:dyDescent="0.25">
      <c r="A966" s="2"/>
      <c r="B966" s="2"/>
      <c r="C966" s="2"/>
      <c r="D966" s="2"/>
      <c r="E966" s="2"/>
      <c r="F966" s="2"/>
    </row>
    <row r="967" spans="1:6" ht="12.75" customHeight="1" x14ac:dyDescent="0.25">
      <c r="A967" s="2"/>
      <c r="B967" s="2"/>
      <c r="C967" s="2"/>
      <c r="D967" s="2"/>
      <c r="E967" s="2"/>
      <c r="F967" s="2"/>
    </row>
    <row r="968" spans="1:6" ht="12.75" customHeight="1" x14ac:dyDescent="0.25">
      <c r="A968" s="2"/>
      <c r="B968" s="2"/>
      <c r="C968" s="2"/>
      <c r="D968" s="2"/>
      <c r="E968" s="2"/>
      <c r="F968" s="2"/>
    </row>
    <row r="969" spans="1:6" ht="12.75" customHeight="1" x14ac:dyDescent="0.25">
      <c r="A969" s="2"/>
      <c r="B969" s="2"/>
      <c r="C969" s="2"/>
      <c r="D969" s="2"/>
      <c r="E969" s="2"/>
      <c r="F969" s="2"/>
    </row>
    <row r="970" spans="1:6" ht="12.75" customHeight="1" x14ac:dyDescent="0.25">
      <c r="A970" s="2"/>
      <c r="B970" s="2"/>
      <c r="C970" s="2"/>
      <c r="D970" s="2"/>
      <c r="E970" s="2"/>
      <c r="F970" s="2"/>
    </row>
    <row r="971" spans="1:6" ht="12.75" customHeight="1" x14ac:dyDescent="0.25">
      <c r="A971" s="2"/>
      <c r="B971" s="2"/>
      <c r="C971" s="2"/>
      <c r="D971" s="2"/>
      <c r="E971" s="2"/>
      <c r="F971" s="2"/>
    </row>
    <row r="972" spans="1:6" ht="12.75" customHeight="1" x14ac:dyDescent="0.25">
      <c r="A972" s="2"/>
      <c r="B972" s="2"/>
      <c r="C972" s="2"/>
      <c r="D972" s="2"/>
      <c r="E972" s="2"/>
      <c r="F972" s="2"/>
    </row>
    <row r="973" spans="1:6" ht="12.75" customHeight="1" x14ac:dyDescent="0.25">
      <c r="A973" s="2"/>
      <c r="B973" s="2"/>
      <c r="C973" s="2"/>
      <c r="D973" s="2"/>
      <c r="E973" s="2"/>
      <c r="F973" s="2"/>
    </row>
    <row r="974" spans="1:6" ht="12.75" customHeight="1" x14ac:dyDescent="0.25">
      <c r="A974" s="2"/>
      <c r="B974" s="2"/>
      <c r="C974" s="2"/>
      <c r="D974" s="2"/>
      <c r="E974" s="2"/>
      <c r="F974" s="2"/>
    </row>
    <row r="975" spans="1:6" ht="12.75" customHeight="1" x14ac:dyDescent="0.25">
      <c r="A975" s="2"/>
      <c r="B975" s="2"/>
      <c r="C975" s="2"/>
      <c r="D975" s="2"/>
      <c r="E975" s="2"/>
      <c r="F975" s="2"/>
    </row>
    <row r="976" spans="1:6" ht="12.75" customHeight="1" x14ac:dyDescent="0.25">
      <c r="A976" s="2"/>
      <c r="B976" s="2"/>
      <c r="C976" s="2"/>
      <c r="D976" s="2"/>
      <c r="E976" s="2"/>
      <c r="F976" s="2"/>
    </row>
    <row r="977" spans="1:6" ht="12.75" customHeight="1" x14ac:dyDescent="0.25">
      <c r="A977" s="2"/>
      <c r="B977" s="2"/>
      <c r="C977" s="2"/>
      <c r="D977" s="2"/>
      <c r="E977" s="2"/>
      <c r="F977" s="2"/>
    </row>
    <row r="978" spans="1:6" ht="12.75" customHeight="1" x14ac:dyDescent="0.25">
      <c r="A978" s="2"/>
      <c r="B978" s="2"/>
      <c r="C978" s="2"/>
      <c r="D978" s="2"/>
      <c r="E978" s="2"/>
      <c r="F978" s="2"/>
    </row>
    <row r="979" spans="1:6" ht="12.75" customHeight="1" x14ac:dyDescent="0.25">
      <c r="A979" s="2"/>
      <c r="B979" s="2"/>
      <c r="C979" s="2"/>
      <c r="D979" s="2"/>
      <c r="E979" s="2"/>
      <c r="F979" s="2"/>
    </row>
    <row r="980" spans="1:6" ht="12.75" customHeight="1" x14ac:dyDescent="0.25">
      <c r="A980" s="2"/>
      <c r="B980" s="2"/>
      <c r="C980" s="2"/>
      <c r="D980" s="2"/>
      <c r="E980" s="2"/>
      <c r="F980" s="2"/>
    </row>
    <row r="981" spans="1:6" ht="12.75" customHeight="1" x14ac:dyDescent="0.25">
      <c r="A981" s="2"/>
      <c r="B981" s="2"/>
      <c r="C981" s="2"/>
      <c r="D981" s="2"/>
      <c r="E981" s="2"/>
      <c r="F981" s="2"/>
    </row>
    <row r="982" spans="1:6" ht="12.75" customHeight="1" x14ac:dyDescent="0.25">
      <c r="A982" s="2"/>
      <c r="B982" s="2"/>
      <c r="C982" s="2"/>
      <c r="D982" s="2"/>
      <c r="E982" s="2"/>
      <c r="F982" s="2"/>
    </row>
    <row r="983" spans="1:6" ht="12.75" customHeight="1" x14ac:dyDescent="0.25">
      <c r="A983" s="2"/>
      <c r="B983" s="2"/>
      <c r="C983" s="2"/>
      <c r="D983" s="2"/>
      <c r="E983" s="2"/>
      <c r="F983" s="2"/>
    </row>
    <row r="984" spans="1:6" ht="12.75" customHeight="1" x14ac:dyDescent="0.25">
      <c r="A984" s="2"/>
      <c r="B984" s="2"/>
      <c r="C984" s="2"/>
      <c r="D984" s="2"/>
      <c r="E984" s="2"/>
      <c r="F984" s="2"/>
    </row>
    <row r="985" spans="1:6" ht="12.75" customHeight="1" x14ac:dyDescent="0.25">
      <c r="A985" s="2"/>
      <c r="B985" s="2"/>
      <c r="C985" s="2"/>
      <c r="D985" s="2"/>
      <c r="E985" s="2"/>
      <c r="F985" s="2"/>
    </row>
    <row r="986" spans="1:6" ht="12.75" customHeight="1" x14ac:dyDescent="0.25">
      <c r="A986" s="2"/>
      <c r="B986" s="2"/>
      <c r="C986" s="2"/>
      <c r="D986" s="2"/>
      <c r="E986" s="2"/>
      <c r="F986" s="2"/>
    </row>
    <row r="987" spans="1:6" ht="12.75" customHeight="1" x14ac:dyDescent="0.25">
      <c r="A987" s="2"/>
      <c r="B987" s="2"/>
      <c r="C987" s="2"/>
      <c r="D987" s="2"/>
      <c r="E987" s="2"/>
      <c r="F987" s="2"/>
    </row>
    <row r="988" spans="1:6" ht="12.75" customHeight="1" x14ac:dyDescent="0.25">
      <c r="A988" s="2"/>
      <c r="B988" s="2"/>
      <c r="C988" s="2"/>
      <c r="D988" s="2"/>
      <c r="E988" s="2"/>
      <c r="F988" s="2"/>
    </row>
    <row r="989" spans="1:6" ht="12.75" customHeight="1" x14ac:dyDescent="0.25">
      <c r="A989" s="2"/>
      <c r="B989" s="2"/>
      <c r="C989" s="2"/>
      <c r="D989" s="2"/>
      <c r="E989" s="2"/>
      <c r="F989" s="2"/>
    </row>
    <row r="990" spans="1:6" ht="12.75" customHeight="1" x14ac:dyDescent="0.25">
      <c r="A990" s="2"/>
      <c r="B990" s="2"/>
      <c r="C990" s="2"/>
      <c r="D990" s="2"/>
      <c r="E990" s="2"/>
      <c r="F990" s="2"/>
    </row>
    <row r="991" spans="1:6" ht="12.75" customHeight="1" x14ac:dyDescent="0.25">
      <c r="A991" s="2"/>
      <c r="B991" s="2"/>
      <c r="C991" s="2"/>
      <c r="D991" s="2"/>
      <c r="E991" s="2"/>
      <c r="F991" s="2"/>
    </row>
    <row r="992" spans="1:6" ht="12.75" customHeight="1" x14ac:dyDescent="0.25">
      <c r="A992" s="2"/>
      <c r="B992" s="2"/>
      <c r="C992" s="2"/>
      <c r="D992" s="2"/>
      <c r="E992" s="2"/>
      <c r="F992" s="2"/>
    </row>
    <row r="993" spans="1:6" ht="12.75" customHeight="1" x14ac:dyDescent="0.25">
      <c r="A993" s="2"/>
      <c r="B993" s="2"/>
      <c r="C993" s="2"/>
      <c r="D993" s="2"/>
      <c r="E993" s="2"/>
      <c r="F993" s="2"/>
    </row>
    <row r="994" spans="1:6" ht="12.75" customHeight="1" x14ac:dyDescent="0.25">
      <c r="A994" s="2"/>
      <c r="B994" s="2"/>
      <c r="C994" s="2"/>
      <c r="D994" s="2"/>
      <c r="E994" s="2"/>
      <c r="F994" s="2"/>
    </row>
    <row r="995" spans="1:6" ht="12.75" customHeight="1" x14ac:dyDescent="0.25">
      <c r="A995" s="2"/>
      <c r="B995" s="2"/>
      <c r="C995" s="2"/>
      <c r="D995" s="2"/>
      <c r="E995" s="2"/>
      <c r="F995" s="2"/>
    </row>
    <row r="996" spans="1:6" ht="12.75" customHeight="1" x14ac:dyDescent="0.25">
      <c r="A996" s="2"/>
      <c r="B996" s="2"/>
      <c r="C996" s="2"/>
      <c r="D996" s="2"/>
      <c r="E996" s="2"/>
      <c r="F996" s="2"/>
    </row>
    <row r="997" spans="1:6" ht="12.75" customHeight="1" x14ac:dyDescent="0.25">
      <c r="A997" s="2"/>
      <c r="B997" s="2"/>
      <c r="C997" s="2"/>
      <c r="D997" s="2"/>
      <c r="E997" s="2"/>
      <c r="F997" s="2"/>
    </row>
    <row r="998" spans="1:6" ht="12.75" customHeight="1" x14ac:dyDescent="0.25">
      <c r="A998" s="2"/>
      <c r="B998" s="2"/>
      <c r="C998" s="2"/>
      <c r="D998" s="2"/>
      <c r="E998" s="2"/>
      <c r="F998" s="2"/>
    </row>
    <row r="999" spans="1:6" ht="12.75" customHeight="1" x14ac:dyDescent="0.25">
      <c r="A999" s="2"/>
      <c r="B999" s="2"/>
      <c r="C999" s="2"/>
      <c r="D999" s="2"/>
      <c r="E999" s="2"/>
      <c r="F999" s="2"/>
    </row>
    <row r="1000" spans="1:6" ht="12.75" customHeight="1" x14ac:dyDescent="0.25">
      <c r="A1000" s="2"/>
      <c r="B1000" s="2"/>
      <c r="C1000" s="2"/>
      <c r="D1000" s="2"/>
      <c r="E1000" s="2"/>
      <c r="F1000" s="2"/>
    </row>
  </sheetData>
  <pageMargins left="0.59027777777777801" right="0.59027777777777801" top="0.78749999999999998" bottom="0.78749999999999998" header="0" footer="0"/>
  <pageSetup paperSize="9" orientation="portrait"/>
  <headerFooter>
    <oddHeader>&amp;R&amp;D</oddHeader>
    <oddFooter>&amp;LEnergiaekspertti Janne Tiainen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1000"/>
  <sheetViews>
    <sheetView workbookViewId="0">
      <selection activeCell="C16" sqref="B16:C16"/>
    </sheetView>
  </sheetViews>
  <sheetFormatPr defaultColWidth="12.6640625" defaultRowHeight="15" customHeight="1" outlineLevelRow="1" x14ac:dyDescent="0.25"/>
  <cols>
    <col min="1" max="1" width="24.44140625" customWidth="1"/>
    <col min="2" max="3" width="7.33203125" style="98" customWidth="1"/>
    <col min="4" max="12" width="7.33203125" customWidth="1"/>
    <col min="13" max="13" width="7.88671875" customWidth="1"/>
    <col min="14" max="14" width="7.109375" customWidth="1"/>
    <col min="15" max="19" width="6.44140625" customWidth="1"/>
    <col min="20" max="20" width="6.109375" customWidth="1"/>
    <col min="21" max="28" width="7.88671875" customWidth="1"/>
    <col min="29" max="29" width="7" customWidth="1"/>
    <col min="30" max="30" width="7.44140625" customWidth="1"/>
    <col min="31" max="33" width="7.88671875" customWidth="1"/>
    <col min="34" max="35" width="8.44140625" customWidth="1"/>
  </cols>
  <sheetData>
    <row r="1" spans="1:35" ht="23.25" customHeight="1" x14ac:dyDescent="0.25">
      <c r="A1" s="125" t="s">
        <v>76</v>
      </c>
      <c r="B1" s="125"/>
      <c r="C1" s="125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4"/>
      <c r="AF1" s="4"/>
      <c r="AG1" s="4"/>
      <c r="AH1" s="2"/>
      <c r="AI1" s="2"/>
    </row>
    <row r="2" spans="1:35" s="116" customFormat="1" ht="12.75" customHeight="1" x14ac:dyDescent="0.25">
      <c r="A2" s="127"/>
      <c r="B2" s="127"/>
      <c r="C2" s="127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17"/>
      <c r="AF2" s="117"/>
      <c r="AG2" s="117"/>
      <c r="AH2" s="114"/>
      <c r="AI2" s="114"/>
    </row>
    <row r="3" spans="1:35" s="116" customFormat="1" ht="12.75" customHeight="1" x14ac:dyDescent="0.25">
      <c r="A3" s="109" t="s">
        <v>77</v>
      </c>
      <c r="B3" s="110">
        <v>2026</v>
      </c>
      <c r="C3" s="110">
        <v>2025</v>
      </c>
      <c r="D3" s="110">
        <v>2024</v>
      </c>
      <c r="E3" s="110">
        <v>2023</v>
      </c>
      <c r="F3" s="110">
        <v>2022</v>
      </c>
      <c r="G3" s="110">
        <v>2021</v>
      </c>
      <c r="H3" s="110">
        <v>2020</v>
      </c>
      <c r="I3" s="110">
        <v>2019</v>
      </c>
      <c r="J3" s="110">
        <v>2018</v>
      </c>
      <c r="K3" s="110">
        <v>2017</v>
      </c>
      <c r="L3" s="110">
        <v>2016</v>
      </c>
      <c r="M3" s="110">
        <v>2015</v>
      </c>
      <c r="N3" s="110">
        <v>2014</v>
      </c>
      <c r="O3" s="110">
        <v>2013</v>
      </c>
      <c r="P3" s="110">
        <v>2012</v>
      </c>
      <c r="Q3" s="110">
        <v>2011</v>
      </c>
      <c r="R3" s="110">
        <v>2010</v>
      </c>
      <c r="S3" s="111">
        <v>2009</v>
      </c>
      <c r="T3" s="112">
        <v>2008</v>
      </c>
      <c r="U3" s="112">
        <v>2007</v>
      </c>
      <c r="V3" s="112">
        <v>2006</v>
      </c>
      <c r="W3" s="112">
        <v>2005</v>
      </c>
      <c r="X3" s="112">
        <v>2004</v>
      </c>
      <c r="Y3" s="112">
        <v>2003</v>
      </c>
      <c r="Z3" s="112">
        <v>2002</v>
      </c>
      <c r="AA3" s="112">
        <v>2001</v>
      </c>
      <c r="AB3" s="112">
        <v>2000</v>
      </c>
      <c r="AC3" s="112">
        <v>1999</v>
      </c>
      <c r="AD3" s="112">
        <v>1998</v>
      </c>
      <c r="AE3" s="113" t="s">
        <v>78</v>
      </c>
      <c r="AF3" s="114" t="s">
        <v>79</v>
      </c>
      <c r="AG3" s="115">
        <v>2023</v>
      </c>
      <c r="AH3" s="114"/>
      <c r="AI3" s="114"/>
    </row>
    <row r="4" spans="1:35" ht="12.75" customHeight="1" outlineLevel="1" thickBot="1" x14ac:dyDescent="0.3">
      <c r="A4" s="107" t="s">
        <v>13</v>
      </c>
      <c r="B4" s="106">
        <v>813.72549019607845</v>
      </c>
      <c r="C4" s="104">
        <v>592.15686274509801</v>
      </c>
      <c r="D4" s="106">
        <v>813.72549019607845</v>
      </c>
      <c r="E4" s="104">
        <v>590</v>
      </c>
      <c r="F4" s="104">
        <v>654.90196078431404</v>
      </c>
      <c r="G4" s="104">
        <v>679.41176470588198</v>
      </c>
      <c r="H4" s="104">
        <v>490.196078431373</v>
      </c>
      <c r="I4" s="104">
        <v>764.70588235294099</v>
      </c>
      <c r="J4" s="104">
        <v>621.56862745097999</v>
      </c>
      <c r="K4" s="104">
        <v>634.31372549019602</v>
      </c>
      <c r="L4" s="106">
        <v>905</v>
      </c>
      <c r="M4" s="104">
        <v>627</v>
      </c>
      <c r="N4" s="104">
        <v>788</v>
      </c>
      <c r="O4" s="104">
        <v>725</v>
      </c>
      <c r="P4" s="104">
        <v>717</v>
      </c>
      <c r="Q4" s="105">
        <v>717</v>
      </c>
      <c r="R4" s="59">
        <v>942</v>
      </c>
      <c r="S4" s="58">
        <v>681</v>
      </c>
      <c r="T4" s="58">
        <v>560</v>
      </c>
      <c r="U4" s="58">
        <v>636</v>
      </c>
      <c r="V4" s="58">
        <v>695</v>
      </c>
      <c r="W4" s="58">
        <v>576</v>
      </c>
      <c r="X4" s="58">
        <v>759</v>
      </c>
      <c r="Y4" s="59">
        <v>858</v>
      </c>
      <c r="Z4" s="58">
        <v>662</v>
      </c>
      <c r="AA4" s="58">
        <v>607</v>
      </c>
      <c r="AB4" s="58">
        <v>636</v>
      </c>
      <c r="AC4" s="60">
        <v>724</v>
      </c>
      <c r="AD4" s="60">
        <v>600</v>
      </c>
      <c r="AE4" s="60">
        <v>743</v>
      </c>
      <c r="AF4" s="2">
        <v>712</v>
      </c>
      <c r="AG4" s="10">
        <v>693</v>
      </c>
      <c r="AH4" s="2"/>
      <c r="AI4" s="2"/>
    </row>
    <row r="5" spans="1:35" ht="12.75" customHeight="1" outlineLevel="1" thickBot="1" x14ac:dyDescent="0.3">
      <c r="A5" s="107" t="s">
        <v>14</v>
      </c>
      <c r="B5" s="106">
        <v>770.58823529411768</v>
      </c>
      <c r="C5" s="104">
        <v>568.62745098039215</v>
      </c>
      <c r="D5" s="104">
        <v>625.49019607843138</v>
      </c>
      <c r="E5" s="104">
        <v>558</v>
      </c>
      <c r="F5" s="104">
        <v>547.05882352941205</v>
      </c>
      <c r="G5" s="106">
        <v>707.84313725490199</v>
      </c>
      <c r="H5" s="104">
        <v>499.01960784313701</v>
      </c>
      <c r="I5" s="104">
        <v>503.92156862745099</v>
      </c>
      <c r="J5" s="104">
        <v>725.49019607843104</v>
      </c>
      <c r="K5" s="104">
        <v>590.19607843137305</v>
      </c>
      <c r="L5" s="104">
        <v>526</v>
      </c>
      <c r="M5" s="104">
        <v>502</v>
      </c>
      <c r="N5" s="104">
        <v>485</v>
      </c>
      <c r="O5" s="104">
        <v>565</v>
      </c>
      <c r="P5" s="106">
        <v>749</v>
      </c>
      <c r="Q5" s="106">
        <v>821</v>
      </c>
      <c r="R5" s="59">
        <v>743</v>
      </c>
      <c r="S5" s="58">
        <v>636</v>
      </c>
      <c r="T5" s="58">
        <v>505</v>
      </c>
      <c r="U5" s="59">
        <v>781</v>
      </c>
      <c r="V5" s="59">
        <v>743</v>
      </c>
      <c r="W5" s="58">
        <v>648</v>
      </c>
      <c r="X5" s="58">
        <v>654</v>
      </c>
      <c r="Y5" s="58">
        <v>640</v>
      </c>
      <c r="Z5" s="58">
        <v>516</v>
      </c>
      <c r="AA5" s="59">
        <v>707</v>
      </c>
      <c r="AB5" s="58">
        <v>577</v>
      </c>
      <c r="AC5" s="60">
        <v>695</v>
      </c>
      <c r="AD5" s="60">
        <v>622</v>
      </c>
      <c r="AE5" s="60">
        <v>693</v>
      </c>
      <c r="AF5" s="2">
        <v>664</v>
      </c>
      <c r="AG5" s="10">
        <v>641</v>
      </c>
      <c r="AH5" s="2"/>
      <c r="AI5" s="2"/>
    </row>
    <row r="6" spans="1:35" ht="12.75" customHeight="1" outlineLevel="1" thickBot="1" x14ac:dyDescent="0.3">
      <c r="A6" s="107" t="s">
        <v>15</v>
      </c>
      <c r="B6" s="58">
        <v>424.50980392156862</v>
      </c>
      <c r="C6" s="58">
        <v>470.58823529411762</v>
      </c>
      <c r="D6" s="58">
        <v>518.62745098039215</v>
      </c>
      <c r="E6" s="58">
        <v>596</v>
      </c>
      <c r="F6" s="58">
        <v>537.25490196078397</v>
      </c>
      <c r="G6" s="58">
        <v>565.68627450980398</v>
      </c>
      <c r="H6" s="58">
        <v>486.274509803922</v>
      </c>
      <c r="I6" s="58">
        <v>556.862745098039</v>
      </c>
      <c r="J6" s="58">
        <v>703.92156862745105</v>
      </c>
      <c r="K6" s="58">
        <v>513.72549019607902</v>
      </c>
      <c r="L6" s="58">
        <v>535</v>
      </c>
      <c r="M6" s="58">
        <v>499</v>
      </c>
      <c r="N6" s="58">
        <v>496</v>
      </c>
      <c r="O6" s="58">
        <v>760</v>
      </c>
      <c r="P6" s="58">
        <v>544</v>
      </c>
      <c r="Q6" s="58">
        <v>590</v>
      </c>
      <c r="R6" s="58">
        <v>616</v>
      </c>
      <c r="S6" s="58">
        <v>602</v>
      </c>
      <c r="T6" s="58">
        <v>564</v>
      </c>
      <c r="U6" s="58">
        <v>457</v>
      </c>
      <c r="V6" s="59">
        <v>743</v>
      </c>
      <c r="W6" s="59">
        <v>732</v>
      </c>
      <c r="X6" s="58">
        <v>567</v>
      </c>
      <c r="Y6" s="58">
        <v>564</v>
      </c>
      <c r="Z6" s="58">
        <v>538</v>
      </c>
      <c r="AA6" s="58">
        <v>651</v>
      </c>
      <c r="AB6" s="58">
        <v>577</v>
      </c>
      <c r="AC6" s="60">
        <v>580</v>
      </c>
      <c r="AD6" s="60">
        <v>672</v>
      </c>
      <c r="AE6" s="60">
        <v>621</v>
      </c>
      <c r="AF6" s="2">
        <v>598</v>
      </c>
      <c r="AG6" s="43">
        <v>588</v>
      </c>
      <c r="AH6" s="7"/>
      <c r="AI6" s="7"/>
    </row>
    <row r="7" spans="1:35" ht="12.75" customHeight="1" outlineLevel="1" thickBot="1" x14ac:dyDescent="0.3">
      <c r="A7" s="107" t="s">
        <v>16</v>
      </c>
      <c r="B7" s="58">
        <v>343</v>
      </c>
      <c r="C7" s="58">
        <v>320.58823529411762</v>
      </c>
      <c r="D7" s="58">
        <v>406.86274509803923</v>
      </c>
      <c r="E7" s="58">
        <v>326</v>
      </c>
      <c r="F7" s="58">
        <v>416.66666666666703</v>
      </c>
      <c r="G7" s="58">
        <v>379.41176470588198</v>
      </c>
      <c r="H7" s="58">
        <v>395.09803921568601</v>
      </c>
      <c r="I7" s="58">
        <v>312.74509803921597</v>
      </c>
      <c r="J7" s="58">
        <v>372.54901960784298</v>
      </c>
      <c r="K7" s="58">
        <v>450.98039215686299</v>
      </c>
      <c r="L7" s="58">
        <v>370</v>
      </c>
      <c r="M7" s="58">
        <v>366</v>
      </c>
      <c r="N7" s="58">
        <v>350</v>
      </c>
      <c r="O7" s="58">
        <v>444</v>
      </c>
      <c r="P7" s="58">
        <v>401</v>
      </c>
      <c r="Q7" s="58">
        <v>321</v>
      </c>
      <c r="R7" s="58">
        <v>380</v>
      </c>
      <c r="S7" s="58">
        <v>370</v>
      </c>
      <c r="T7" s="58">
        <v>321</v>
      </c>
      <c r="U7" s="58">
        <v>338</v>
      </c>
      <c r="V7" s="58">
        <v>377</v>
      </c>
      <c r="W7" s="58">
        <v>386</v>
      </c>
      <c r="X7" s="58">
        <v>360</v>
      </c>
      <c r="Y7" s="58">
        <v>428</v>
      </c>
      <c r="Z7" s="58">
        <v>319</v>
      </c>
      <c r="AA7" s="58">
        <v>317</v>
      </c>
      <c r="AB7" s="58">
        <v>283</v>
      </c>
      <c r="AC7" s="60">
        <v>327</v>
      </c>
      <c r="AD7" s="60">
        <v>409</v>
      </c>
      <c r="AE7" s="60">
        <v>422</v>
      </c>
      <c r="AF7" s="2">
        <v>387</v>
      </c>
      <c r="AG7" s="10">
        <v>379</v>
      </c>
      <c r="AH7" s="2"/>
      <c r="AI7" s="2"/>
    </row>
    <row r="8" spans="1:35" ht="12.75" customHeight="1" outlineLevel="1" thickBot="1" x14ac:dyDescent="0.3">
      <c r="A8" s="107" t="s">
        <v>80</v>
      </c>
      <c r="B8" s="58">
        <v>65</v>
      </c>
      <c r="C8" s="58">
        <v>164.70588235294116</v>
      </c>
      <c r="D8" s="58">
        <v>91.17647058823529</v>
      </c>
      <c r="E8" s="58">
        <v>122</v>
      </c>
      <c r="F8" s="58">
        <v>156.862745098039</v>
      </c>
      <c r="G8" s="58">
        <v>157.84313725490199</v>
      </c>
      <c r="H8" s="58">
        <v>195.09803921568599</v>
      </c>
      <c r="I8" s="58">
        <v>157.84313725490199</v>
      </c>
      <c r="J8" s="58">
        <v>44.117647058823501</v>
      </c>
      <c r="K8" s="58">
        <v>214.70588235294099</v>
      </c>
      <c r="L8" s="58">
        <v>46</v>
      </c>
      <c r="M8" s="58">
        <v>184</v>
      </c>
      <c r="N8" s="58">
        <v>198</v>
      </c>
      <c r="O8" s="58">
        <v>60</v>
      </c>
      <c r="P8" s="58">
        <v>135</v>
      </c>
      <c r="Q8" s="58">
        <v>117</v>
      </c>
      <c r="R8" s="58">
        <v>139</v>
      </c>
      <c r="S8" s="58">
        <v>108</v>
      </c>
      <c r="T8" s="58">
        <v>159</v>
      </c>
      <c r="U8" s="58">
        <v>102</v>
      </c>
      <c r="V8" s="58">
        <v>135</v>
      </c>
      <c r="W8" s="58">
        <v>163</v>
      </c>
      <c r="X8" s="58">
        <v>187</v>
      </c>
      <c r="Y8" s="58">
        <v>119</v>
      </c>
      <c r="Z8" s="58">
        <v>103</v>
      </c>
      <c r="AA8" s="58">
        <v>183</v>
      </c>
      <c r="AB8" s="58">
        <v>110</v>
      </c>
      <c r="AC8" s="60">
        <v>249</v>
      </c>
      <c r="AD8" s="60">
        <v>158</v>
      </c>
      <c r="AE8" s="60">
        <v>174</v>
      </c>
      <c r="AF8" s="2">
        <v>156</v>
      </c>
      <c r="AG8" s="10">
        <v>154</v>
      </c>
      <c r="AH8" s="2"/>
      <c r="AI8" s="2"/>
    </row>
    <row r="9" spans="1:35" ht="12.75" customHeight="1" outlineLevel="1" thickBot="1" x14ac:dyDescent="0.3">
      <c r="A9" s="108" t="s">
        <v>18</v>
      </c>
      <c r="B9" s="61">
        <v>0</v>
      </c>
      <c r="C9" s="61">
        <v>0</v>
      </c>
      <c r="D9" s="61">
        <v>0</v>
      </c>
      <c r="E9" s="61">
        <v>27</v>
      </c>
      <c r="F9" s="61">
        <v>0</v>
      </c>
      <c r="G9" s="61">
        <v>0</v>
      </c>
      <c r="H9" s="61">
        <v>0</v>
      </c>
      <c r="I9" s="61">
        <v>0</v>
      </c>
      <c r="J9" s="61">
        <v>24.509803921568601</v>
      </c>
      <c r="K9" s="61">
        <v>52.941176470588204</v>
      </c>
      <c r="L9" s="61">
        <v>37</v>
      </c>
      <c r="M9" s="61">
        <v>15</v>
      </c>
      <c r="N9" s="61">
        <v>51</v>
      </c>
      <c r="O9" s="61">
        <v>0</v>
      </c>
      <c r="P9" s="61">
        <v>16</v>
      </c>
      <c r="Q9" s="61" t="s">
        <v>81</v>
      </c>
      <c r="R9" s="61" t="s">
        <v>81</v>
      </c>
      <c r="S9" s="58">
        <v>56</v>
      </c>
      <c r="T9" s="58">
        <v>8</v>
      </c>
      <c r="U9" s="58">
        <v>0</v>
      </c>
      <c r="V9" s="58">
        <v>23</v>
      </c>
      <c r="W9" s="58">
        <v>17</v>
      </c>
      <c r="X9" s="58">
        <v>24</v>
      </c>
      <c r="Y9" s="58">
        <v>8</v>
      </c>
      <c r="Z9" s="58">
        <v>0</v>
      </c>
      <c r="AA9" s="58">
        <v>0</v>
      </c>
      <c r="AB9" s="58">
        <v>0</v>
      </c>
      <c r="AC9" s="60">
        <v>0</v>
      </c>
      <c r="AD9" s="60">
        <v>0</v>
      </c>
      <c r="AE9" s="60">
        <v>25</v>
      </c>
      <c r="AF9" s="2">
        <v>20</v>
      </c>
      <c r="AG9" s="10">
        <v>19</v>
      </c>
      <c r="AH9" s="2"/>
      <c r="AI9" s="2"/>
    </row>
    <row r="10" spans="1:35" ht="12.75" customHeight="1" outlineLevel="1" thickBot="1" x14ac:dyDescent="0.3">
      <c r="A10" s="107" t="s">
        <v>19</v>
      </c>
      <c r="B10" s="58"/>
      <c r="C10" s="58">
        <v>0</v>
      </c>
      <c r="D10" s="58">
        <v>0</v>
      </c>
      <c r="E10" s="58">
        <v>0</v>
      </c>
      <c r="F10" s="58">
        <v>0</v>
      </c>
      <c r="G10" s="58">
        <v>0</v>
      </c>
      <c r="H10" s="58">
        <v>4.9019607843137303</v>
      </c>
      <c r="I10" s="58">
        <v>10.7843137254902</v>
      </c>
      <c r="J10" s="58">
        <v>0</v>
      </c>
      <c r="K10" s="58">
        <v>11.764705882352899</v>
      </c>
      <c r="L10" s="58">
        <v>5</v>
      </c>
      <c r="M10" s="58">
        <v>0</v>
      </c>
      <c r="N10" s="58">
        <v>5</v>
      </c>
      <c r="O10" s="58">
        <v>0</v>
      </c>
      <c r="P10" s="58">
        <v>0</v>
      </c>
      <c r="Q10" s="61" t="s">
        <v>81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  <c r="W10" s="58">
        <v>0</v>
      </c>
      <c r="X10" s="58">
        <v>0</v>
      </c>
      <c r="Y10" s="58">
        <v>0</v>
      </c>
      <c r="Z10" s="58">
        <v>0</v>
      </c>
      <c r="AA10" s="58">
        <v>0</v>
      </c>
      <c r="AB10" s="58">
        <v>0</v>
      </c>
      <c r="AC10" s="60">
        <v>0</v>
      </c>
      <c r="AD10" s="60">
        <v>0</v>
      </c>
      <c r="AE10" s="60">
        <v>7</v>
      </c>
      <c r="AF10" s="2">
        <v>4</v>
      </c>
      <c r="AG10" s="10">
        <v>4</v>
      </c>
      <c r="AH10" s="2"/>
      <c r="AI10" s="2"/>
    </row>
    <row r="11" spans="1:35" ht="12.75" customHeight="1" outlineLevel="1" thickBot="1" x14ac:dyDescent="0.3">
      <c r="A11" s="107" t="s">
        <v>20</v>
      </c>
      <c r="B11" s="58"/>
      <c r="C11" s="58">
        <v>24.038461538461537</v>
      </c>
      <c r="D11" s="58">
        <v>0</v>
      </c>
      <c r="E11" s="58">
        <v>21</v>
      </c>
      <c r="F11" s="58">
        <v>6.8627450980392197</v>
      </c>
      <c r="G11" s="58">
        <v>20</v>
      </c>
      <c r="H11" s="58">
        <v>10.7843137254902</v>
      </c>
      <c r="I11" s="58">
        <v>0</v>
      </c>
      <c r="J11" s="58">
        <v>0</v>
      </c>
      <c r="K11" s="58">
        <v>34.313725490196099</v>
      </c>
      <c r="L11" s="58">
        <v>12</v>
      </c>
      <c r="M11" s="58">
        <v>5</v>
      </c>
      <c r="N11" s="58">
        <v>23</v>
      </c>
      <c r="O11" s="58">
        <v>11</v>
      </c>
      <c r="P11" s="58">
        <v>31</v>
      </c>
      <c r="Q11" s="61" t="s">
        <v>81</v>
      </c>
      <c r="R11" s="58">
        <v>39</v>
      </c>
      <c r="S11" s="58">
        <v>11</v>
      </c>
      <c r="T11" s="58">
        <v>33</v>
      </c>
      <c r="U11" s="58">
        <v>47</v>
      </c>
      <c r="V11" s="58">
        <v>0</v>
      </c>
      <c r="W11" s="58">
        <v>16</v>
      </c>
      <c r="X11" s="58">
        <v>29</v>
      </c>
      <c r="Y11" s="58">
        <v>43</v>
      </c>
      <c r="Z11" s="58">
        <v>0</v>
      </c>
      <c r="AA11" s="58">
        <v>0</v>
      </c>
      <c r="AB11" s="58">
        <v>0</v>
      </c>
      <c r="AC11" s="60">
        <v>0</v>
      </c>
      <c r="AD11" s="60">
        <v>0</v>
      </c>
      <c r="AE11" s="60">
        <v>36</v>
      </c>
      <c r="AF11" s="2">
        <v>30</v>
      </c>
      <c r="AG11" s="10">
        <v>21</v>
      </c>
      <c r="AH11" s="2"/>
      <c r="AI11" s="2"/>
    </row>
    <row r="12" spans="1:35" ht="12.75" customHeight="1" outlineLevel="1" thickBot="1" x14ac:dyDescent="0.3">
      <c r="A12" s="107" t="s">
        <v>21</v>
      </c>
      <c r="B12" s="58"/>
      <c r="C12" s="58">
        <v>82.35294117647058</v>
      </c>
      <c r="D12" s="58">
        <v>57.843137254901961</v>
      </c>
      <c r="E12" s="58">
        <v>165</v>
      </c>
      <c r="F12" s="58">
        <v>223.529411764706</v>
      </c>
      <c r="G12" s="58">
        <v>222.54901960784301</v>
      </c>
      <c r="H12" s="58">
        <v>94.117647058823493</v>
      </c>
      <c r="I12" s="58">
        <v>176.470588235294</v>
      </c>
      <c r="J12" s="58">
        <v>122.54901960784299</v>
      </c>
      <c r="K12" s="58">
        <v>184.31372549019599</v>
      </c>
      <c r="L12" s="58">
        <v>140.196078431373</v>
      </c>
      <c r="M12" s="58">
        <v>115</v>
      </c>
      <c r="N12" s="58">
        <v>163</v>
      </c>
      <c r="O12" s="58">
        <v>121</v>
      </c>
      <c r="P12" s="58">
        <v>142</v>
      </c>
      <c r="Q12" s="58">
        <v>73</v>
      </c>
      <c r="R12" s="58">
        <v>153</v>
      </c>
      <c r="S12" s="58">
        <v>106</v>
      </c>
      <c r="T12" s="58">
        <v>225</v>
      </c>
      <c r="U12" s="58">
        <v>166</v>
      </c>
      <c r="V12" s="58">
        <v>72</v>
      </c>
      <c r="W12" s="58">
        <v>104</v>
      </c>
      <c r="X12" s="58">
        <v>121</v>
      </c>
      <c r="Y12" s="58">
        <v>131</v>
      </c>
      <c r="Z12" s="58">
        <v>200</v>
      </c>
      <c r="AA12" s="58">
        <v>120</v>
      </c>
      <c r="AB12" s="58">
        <v>242</v>
      </c>
      <c r="AC12" s="60">
        <v>134</v>
      </c>
      <c r="AD12" s="60">
        <v>169</v>
      </c>
      <c r="AE12" s="60">
        <v>217</v>
      </c>
      <c r="AF12" s="2">
        <v>187</v>
      </c>
      <c r="AG12" s="10">
        <v>165</v>
      </c>
      <c r="AH12" s="2"/>
      <c r="AI12" s="2"/>
    </row>
    <row r="13" spans="1:35" ht="12.75" customHeight="1" outlineLevel="1" thickBot="1" x14ac:dyDescent="0.3">
      <c r="A13" s="107" t="s">
        <v>22</v>
      </c>
      <c r="B13" s="58"/>
      <c r="C13" s="58">
        <v>317.64705882352939</v>
      </c>
      <c r="D13" s="58">
        <v>307.84313725490193</v>
      </c>
      <c r="E13" s="58">
        <v>378</v>
      </c>
      <c r="F13" s="58">
        <v>314.70588235294099</v>
      </c>
      <c r="G13" s="58">
        <v>297.058823529412</v>
      </c>
      <c r="H13" s="58">
        <v>279.41176470588198</v>
      </c>
      <c r="I13" s="58">
        <v>390.196078431373</v>
      </c>
      <c r="J13" s="58">
        <v>362.74509803921597</v>
      </c>
      <c r="K13" s="58">
        <v>385.29411764705901</v>
      </c>
      <c r="L13" s="58">
        <v>403.92156862745099</v>
      </c>
      <c r="M13" s="58">
        <v>404</v>
      </c>
      <c r="N13" s="58">
        <v>381</v>
      </c>
      <c r="O13" s="58">
        <v>346</v>
      </c>
      <c r="P13" s="58">
        <v>374</v>
      </c>
      <c r="Q13" s="58">
        <v>318</v>
      </c>
      <c r="R13" s="58">
        <v>410</v>
      </c>
      <c r="S13" s="58">
        <v>452</v>
      </c>
      <c r="T13" s="58">
        <v>304</v>
      </c>
      <c r="U13" s="58">
        <v>347</v>
      </c>
      <c r="V13" s="58">
        <v>326</v>
      </c>
      <c r="W13" s="58">
        <v>318</v>
      </c>
      <c r="X13" s="58">
        <v>374</v>
      </c>
      <c r="Y13" s="58">
        <v>435</v>
      </c>
      <c r="Z13" s="59">
        <v>541</v>
      </c>
      <c r="AA13" s="58">
        <v>297</v>
      </c>
      <c r="AB13" s="58">
        <v>272</v>
      </c>
      <c r="AC13" s="60">
        <v>334</v>
      </c>
      <c r="AD13" s="60">
        <v>375</v>
      </c>
      <c r="AE13" s="60">
        <v>398</v>
      </c>
      <c r="AF13" s="2">
        <v>375</v>
      </c>
      <c r="AG13" s="43">
        <v>378</v>
      </c>
      <c r="AH13" s="7"/>
      <c r="AI13" s="7"/>
    </row>
    <row r="14" spans="1:35" ht="12.75" customHeight="1" outlineLevel="1" thickBot="1" x14ac:dyDescent="0.3">
      <c r="A14" s="107" t="s">
        <v>23</v>
      </c>
      <c r="B14" s="58"/>
      <c r="C14" s="58">
        <v>418.62745098039215</v>
      </c>
      <c r="D14" s="58">
        <v>445.09803921568624</v>
      </c>
      <c r="E14" s="58">
        <v>543</v>
      </c>
      <c r="F14" s="58">
        <v>460.78431372548999</v>
      </c>
      <c r="G14" s="58">
        <v>478.43137254902001</v>
      </c>
      <c r="H14" s="58">
        <v>393.137254901961</v>
      </c>
      <c r="I14" s="58">
        <v>478.43137254902001</v>
      </c>
      <c r="J14" s="58">
        <v>441.17647058823502</v>
      </c>
      <c r="K14" s="58">
        <v>460.78431372548999</v>
      </c>
      <c r="L14" s="58">
        <v>542.15686274509801</v>
      </c>
      <c r="M14" s="58">
        <v>393</v>
      </c>
      <c r="N14" s="58">
        <v>463</v>
      </c>
      <c r="O14" s="58">
        <v>431</v>
      </c>
      <c r="P14" s="58">
        <v>435</v>
      </c>
      <c r="Q14" s="58">
        <v>401</v>
      </c>
      <c r="R14" s="58">
        <v>585</v>
      </c>
      <c r="S14" s="58">
        <v>461</v>
      </c>
      <c r="T14" s="58">
        <v>465</v>
      </c>
      <c r="U14" s="58">
        <v>529</v>
      </c>
      <c r="V14" s="58">
        <v>494</v>
      </c>
      <c r="W14" s="58">
        <v>414</v>
      </c>
      <c r="X14" s="58">
        <v>530</v>
      </c>
      <c r="Y14" s="58">
        <v>443</v>
      </c>
      <c r="Z14" s="59">
        <v>617</v>
      </c>
      <c r="AA14" s="58">
        <v>540</v>
      </c>
      <c r="AB14" s="58">
        <v>398</v>
      </c>
      <c r="AC14" s="60">
        <v>463</v>
      </c>
      <c r="AD14" s="62">
        <v>628</v>
      </c>
      <c r="AE14" s="60">
        <v>538</v>
      </c>
      <c r="AF14" s="2">
        <v>518</v>
      </c>
      <c r="AG14" s="10">
        <v>494</v>
      </c>
      <c r="AH14" s="2"/>
      <c r="AI14" s="2"/>
    </row>
    <row r="15" spans="1:35" s="116" customFormat="1" ht="12.75" customHeight="1" outlineLevel="1" x14ac:dyDescent="0.25">
      <c r="A15" s="118" t="s">
        <v>24</v>
      </c>
      <c r="B15" s="119"/>
      <c r="C15" s="119">
        <v>497.05882352941177</v>
      </c>
      <c r="D15" s="119">
        <v>559.8039215686274</v>
      </c>
      <c r="E15" s="120">
        <v>701</v>
      </c>
      <c r="F15" s="119">
        <v>617.64705882352905</v>
      </c>
      <c r="G15" s="119">
        <v>751</v>
      </c>
      <c r="H15" s="119">
        <v>520</v>
      </c>
      <c r="I15" s="119">
        <v>510</v>
      </c>
      <c r="J15" s="119">
        <v>605.88235294117601</v>
      </c>
      <c r="K15" s="119">
        <v>529.41176470588198</v>
      </c>
      <c r="L15" s="119">
        <v>574.50980392156896</v>
      </c>
      <c r="M15" s="119">
        <v>419</v>
      </c>
      <c r="N15" s="119">
        <v>590</v>
      </c>
      <c r="O15" s="119">
        <v>496</v>
      </c>
      <c r="P15" s="120">
        <v>767</v>
      </c>
      <c r="Q15" s="121">
        <v>491</v>
      </c>
      <c r="R15" s="120">
        <v>838</v>
      </c>
      <c r="S15" s="120">
        <v>734</v>
      </c>
      <c r="T15" s="121">
        <v>537</v>
      </c>
      <c r="U15" s="121">
        <v>496</v>
      </c>
      <c r="V15" s="121">
        <v>461</v>
      </c>
      <c r="W15" s="121">
        <v>663</v>
      </c>
      <c r="X15" s="121">
        <v>557</v>
      </c>
      <c r="Y15" s="121">
        <v>579</v>
      </c>
      <c r="Z15" s="120">
        <v>808</v>
      </c>
      <c r="AA15" s="120">
        <v>778</v>
      </c>
      <c r="AB15" s="121">
        <v>508</v>
      </c>
      <c r="AC15" s="122">
        <v>624</v>
      </c>
      <c r="AD15" s="122">
        <v>621</v>
      </c>
      <c r="AE15" s="122">
        <v>681</v>
      </c>
      <c r="AF15" s="114">
        <v>655</v>
      </c>
      <c r="AG15" s="123">
        <v>619</v>
      </c>
      <c r="AH15" s="114"/>
      <c r="AI15" s="114"/>
    </row>
    <row r="16" spans="1:35" ht="12.75" customHeight="1" x14ac:dyDescent="0.3">
      <c r="A16" s="99" t="s">
        <v>25</v>
      </c>
      <c r="B16" s="63">
        <f t="shared" ref="B16:E16" si="0">SUM(B4:B15)</f>
        <v>2416.8235294117649</v>
      </c>
      <c r="C16" s="63">
        <f t="shared" si="0"/>
        <v>3456.3914027149317</v>
      </c>
      <c r="D16" s="63">
        <f t="shared" si="0"/>
        <v>3826.4705882352946</v>
      </c>
      <c r="E16" s="63">
        <f t="shared" si="0"/>
        <v>4027</v>
      </c>
      <c r="F16" s="63">
        <f t="shared" ref="F16:U16" si="1">SUM(F4:F15)</f>
        <v>3936.2745098039213</v>
      </c>
      <c r="G16" s="63">
        <f t="shared" si="1"/>
        <v>4259.2352941176478</v>
      </c>
      <c r="H16" s="63">
        <f t="shared" si="1"/>
        <v>3368.0392156862749</v>
      </c>
      <c r="I16" s="63">
        <f t="shared" si="1"/>
        <v>3861.9607843137264</v>
      </c>
      <c r="J16" s="63">
        <f t="shared" si="1"/>
        <v>4024.5098039215673</v>
      </c>
      <c r="K16" s="63">
        <f t="shared" si="1"/>
        <v>4062.7450980392164</v>
      </c>
      <c r="L16" s="63">
        <f t="shared" si="1"/>
        <v>4096.7843137254904</v>
      </c>
      <c r="M16" s="63">
        <f t="shared" si="1"/>
        <v>3529</v>
      </c>
      <c r="N16" s="63">
        <f t="shared" si="1"/>
        <v>3993</v>
      </c>
      <c r="O16" s="63">
        <f t="shared" si="1"/>
        <v>3959</v>
      </c>
      <c r="P16" s="63">
        <f t="shared" si="1"/>
        <v>4311</v>
      </c>
      <c r="Q16" s="63">
        <f t="shared" si="1"/>
        <v>3849</v>
      </c>
      <c r="R16" s="63">
        <f t="shared" si="1"/>
        <v>4845</v>
      </c>
      <c r="S16" s="63">
        <f t="shared" si="1"/>
        <v>4217</v>
      </c>
      <c r="T16" s="63">
        <f t="shared" si="1"/>
        <v>3681</v>
      </c>
      <c r="U16" s="63">
        <f t="shared" si="1"/>
        <v>3899</v>
      </c>
      <c r="V16" s="64">
        <v>4069</v>
      </c>
      <c r="W16" s="64">
        <v>4037</v>
      </c>
      <c r="X16" s="64">
        <v>4162</v>
      </c>
      <c r="Y16" s="64">
        <v>4248</v>
      </c>
      <c r="Z16" s="64">
        <v>4304</v>
      </c>
      <c r="AA16" s="64">
        <v>4200</v>
      </c>
      <c r="AB16" s="64">
        <v>3602</v>
      </c>
      <c r="AC16" s="64">
        <v>4129</v>
      </c>
      <c r="AD16" s="64">
        <v>4254</v>
      </c>
      <c r="AE16" s="64">
        <v>4555</v>
      </c>
      <c r="AF16" s="10">
        <f>SUM(AF4:AF15)</f>
        <v>4306</v>
      </c>
      <c r="AG16" s="10">
        <v>4155</v>
      </c>
      <c r="AH16" s="2"/>
      <c r="AI16" s="65">
        <f>AVERAGE(N16:AD16)</f>
        <v>4103.4705882352937</v>
      </c>
    </row>
    <row r="17" spans="1:35" ht="12.75" customHeight="1" x14ac:dyDescent="0.3">
      <c r="A17" s="100"/>
      <c r="B17" s="2"/>
      <c r="C17" s="2"/>
      <c r="D17" s="10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43"/>
      <c r="Q17" s="2"/>
      <c r="R17" s="2"/>
      <c r="S17" s="2"/>
      <c r="T17" s="2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"/>
      <c r="AI17" s="65">
        <f>AVERAGE(N16:W16)</f>
        <v>4086</v>
      </c>
    </row>
    <row r="18" spans="1:35" ht="12.75" customHeight="1" x14ac:dyDescent="0.25">
      <c r="A18" s="103" t="s">
        <v>82</v>
      </c>
      <c r="B18" s="33"/>
      <c r="C18" s="33">
        <f t="shared" ref="C18:E18" si="2">(C16-$AF$16)/$AF$16</f>
        <v>-0.19730808111590067</v>
      </c>
      <c r="D18" s="33">
        <f t="shared" si="2"/>
        <v>-0.11136307751154328</v>
      </c>
      <c r="E18" s="33">
        <f t="shared" si="2"/>
        <v>-6.4793311658151415E-2</v>
      </c>
      <c r="F18" s="33">
        <f t="shared" ref="F18:N18" si="3">(F16-$AF$16)/$AF$16</f>
        <v>-8.5862863491890082E-2</v>
      </c>
      <c r="G18" s="33">
        <f t="shared" si="3"/>
        <v>-1.0860359006584358E-2</v>
      </c>
      <c r="H18" s="33">
        <f t="shared" si="3"/>
        <v>-0.21782647104359615</v>
      </c>
      <c r="I18" s="33">
        <f t="shared" si="3"/>
        <v>-0.1031210440516195</v>
      </c>
      <c r="J18" s="33">
        <f t="shared" si="3"/>
        <v>-6.5371620083240309E-2</v>
      </c>
      <c r="K18" s="33">
        <f t="shared" si="3"/>
        <v>-5.6492081272824811E-2</v>
      </c>
      <c r="L18" s="33">
        <f t="shared" si="3"/>
        <v>-4.8587014926732376E-2</v>
      </c>
      <c r="M18" s="33">
        <f t="shared" si="3"/>
        <v>-0.18044588945657222</v>
      </c>
      <c r="N18" s="33">
        <f t="shared" si="3"/>
        <v>-7.2689270784951229E-2</v>
      </c>
      <c r="O18" s="33">
        <f t="shared" ref="O18:AD18" si="4">(O16-$AE$16)/$AE$16</f>
        <v>-0.13084522502744236</v>
      </c>
      <c r="P18" s="33">
        <f t="shared" si="4"/>
        <v>-5.3567508232711308E-2</v>
      </c>
      <c r="Q18" s="33">
        <f t="shared" si="4"/>
        <v>-0.15499451152579583</v>
      </c>
      <c r="R18" s="33">
        <f t="shared" si="4"/>
        <v>6.3666300768386391E-2</v>
      </c>
      <c r="S18" s="33">
        <f t="shared" si="4"/>
        <v>-7.4204171240395175E-2</v>
      </c>
      <c r="T18" s="33">
        <f t="shared" si="4"/>
        <v>-0.19187705817782658</v>
      </c>
      <c r="U18" s="33">
        <f t="shared" si="4"/>
        <v>-0.14401756311745334</v>
      </c>
      <c r="V18" s="33">
        <f t="shared" si="4"/>
        <v>-0.10669593852908892</v>
      </c>
      <c r="W18" s="33">
        <f t="shared" si="4"/>
        <v>-0.1137211855104281</v>
      </c>
      <c r="X18" s="33">
        <f t="shared" si="4"/>
        <v>-8.6278814489571892E-2</v>
      </c>
      <c r="Y18" s="33">
        <f t="shared" si="4"/>
        <v>-6.739846322722283E-2</v>
      </c>
      <c r="Z18" s="33">
        <f t="shared" si="4"/>
        <v>-5.5104281009879255E-2</v>
      </c>
      <c r="AA18" s="33">
        <f t="shared" si="4"/>
        <v>-7.7936333699231614E-2</v>
      </c>
      <c r="AB18" s="33">
        <f t="shared" si="4"/>
        <v>-0.20922063666300769</v>
      </c>
      <c r="AC18" s="33">
        <f t="shared" si="4"/>
        <v>-9.3523600439077939E-2</v>
      </c>
      <c r="AD18" s="33">
        <f t="shared" si="4"/>
        <v>-6.608122941822174E-2</v>
      </c>
      <c r="AE18" s="4"/>
      <c r="AF18" s="4"/>
      <c r="AG18" s="4"/>
      <c r="AH18" s="2"/>
      <c r="AI18" s="2"/>
    </row>
    <row r="19" spans="1:35" ht="12.75" customHeight="1" x14ac:dyDescent="0.25">
      <c r="A19" s="103" t="s">
        <v>83</v>
      </c>
      <c r="B19" s="23"/>
      <c r="C19" s="23">
        <f t="shared" ref="C19:D19" si="5">(C16-D21)/D21</f>
        <v>-0.10995830654700803</v>
      </c>
      <c r="D19" s="23">
        <f t="shared" si="5"/>
        <v>-1.6458383312602427E-2</v>
      </c>
      <c r="E19" s="23">
        <f t="shared" ref="E19" si="6">(E16-F21)/F21</f>
        <v>3.5217465378834238E-2</v>
      </c>
      <c r="F19" s="23">
        <f t="shared" ref="F19:Y19" si="7">(F16-G21)/G21</f>
        <v>5.357566749231794E-3</v>
      </c>
      <c r="G19" s="23">
        <f t="shared" si="7"/>
        <v>9.6947226385595359E-2</v>
      </c>
      <c r="H19" s="23">
        <f t="shared" si="7"/>
        <v>-0.13970901259609836</v>
      </c>
      <c r="I19" s="23">
        <f t="shared" si="7"/>
        <v>-2.0107302628436501E-2</v>
      </c>
      <c r="J19" s="23">
        <f t="shared" si="7"/>
        <v>2.4542088338738999E-2</v>
      </c>
      <c r="K19" s="23">
        <f t="shared" si="7"/>
        <v>2.1365869817258555E-2</v>
      </c>
      <c r="L19" s="23">
        <f t="shared" si="7"/>
        <v>4.2916428319711465E-2</v>
      </c>
      <c r="M19" s="23">
        <f t="shared" si="7"/>
        <v>-0.15803788710216149</v>
      </c>
      <c r="N19" s="23">
        <f t="shared" si="7"/>
        <v>-5.7409942873329831E-2</v>
      </c>
      <c r="O19" s="23">
        <f t="shared" si="7"/>
        <v>-5.3006745443237892E-2</v>
      </c>
      <c r="P19" s="23">
        <f t="shared" si="7"/>
        <v>5.1925235469230439E-2</v>
      </c>
      <c r="Q19" s="23">
        <f t="shared" si="7"/>
        <v>-7.078364154314129E-2</v>
      </c>
      <c r="R19" s="45">
        <f t="shared" si="7"/>
        <v>0.21715319298598204</v>
      </c>
      <c r="S19" s="23">
        <f t="shared" si="7"/>
        <v>6.2323659814590912E-2</v>
      </c>
      <c r="T19" s="45">
        <f t="shared" si="7"/>
        <v>-9.8457016899338723E-2</v>
      </c>
      <c r="U19" s="23">
        <f t="shared" si="7"/>
        <v>-6.3640730067243037E-2</v>
      </c>
      <c r="V19" s="23">
        <f t="shared" si="7"/>
        <v>-2.8924633669037237E-2</v>
      </c>
      <c r="W19" s="23">
        <f t="shared" si="7"/>
        <v>-1.6133749268863282E-2</v>
      </c>
      <c r="X19" s="23">
        <f t="shared" si="7"/>
        <v>1.5964458331299034E-2</v>
      </c>
      <c r="Y19" s="23">
        <f t="shared" si="7"/>
        <v>3.6653814241788228E-2</v>
      </c>
      <c r="Z19" s="36"/>
      <c r="AA19" s="36"/>
      <c r="AB19" s="4"/>
      <c r="AC19" s="4"/>
      <c r="AD19" s="4"/>
      <c r="AE19" s="4"/>
      <c r="AF19" s="4"/>
      <c r="AG19" s="4"/>
      <c r="AH19" s="2"/>
      <c r="AI19" s="2"/>
    </row>
    <row r="20" spans="1:35" ht="12.75" customHeight="1" x14ac:dyDescent="0.3">
      <c r="A20" s="101" t="s">
        <v>84</v>
      </c>
      <c r="B20" s="65"/>
      <c r="C20" s="65"/>
      <c r="D20" s="65"/>
      <c r="E20" s="65"/>
      <c r="F20" s="6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2"/>
      <c r="AI20" s="2"/>
    </row>
    <row r="21" spans="1:35" ht="12.75" customHeight="1" x14ac:dyDescent="0.3">
      <c r="A21" s="101" t="s">
        <v>85</v>
      </c>
      <c r="B21" s="43"/>
      <c r="C21" s="43">
        <f t="shared" ref="C21" si="8">AVERAGE(C16:G16)</f>
        <v>3901.0743589743593</v>
      </c>
      <c r="D21" s="43">
        <f t="shared" ref="D21" si="9">AVERAGE(D16:H16)</f>
        <v>3883.403921568628</v>
      </c>
      <c r="E21" s="43">
        <f t="shared" ref="E21:Z21" si="10">AVERAGE(E16:I16)</f>
        <v>3890.5019607843142</v>
      </c>
      <c r="F21" s="43">
        <f t="shared" si="10"/>
        <v>3890.0039215686274</v>
      </c>
      <c r="G21" s="43">
        <f t="shared" si="10"/>
        <v>3915.2980392156869</v>
      </c>
      <c r="H21" s="43">
        <f t="shared" si="10"/>
        <v>3882.8078431372551</v>
      </c>
      <c r="I21" s="43">
        <f t="shared" si="10"/>
        <v>3915</v>
      </c>
      <c r="J21" s="43">
        <f t="shared" si="10"/>
        <v>3941.2078431372547</v>
      </c>
      <c r="K21" s="43">
        <f t="shared" si="10"/>
        <v>3928.1058823529411</v>
      </c>
      <c r="L21" s="43">
        <f t="shared" si="10"/>
        <v>3977.7568627450978</v>
      </c>
      <c r="M21" s="43">
        <f t="shared" si="10"/>
        <v>3928.2</v>
      </c>
      <c r="N21" s="43">
        <f t="shared" si="10"/>
        <v>4191.3999999999996</v>
      </c>
      <c r="O21" s="43">
        <f t="shared" si="10"/>
        <v>4236.2</v>
      </c>
      <c r="P21" s="43">
        <f t="shared" si="10"/>
        <v>4180.6000000000004</v>
      </c>
      <c r="Q21" s="43">
        <f t="shared" si="10"/>
        <v>4098.2</v>
      </c>
      <c r="R21" s="43">
        <f t="shared" si="10"/>
        <v>4142.2</v>
      </c>
      <c r="S21" s="43">
        <f t="shared" si="10"/>
        <v>3980.6</v>
      </c>
      <c r="T21" s="43">
        <f t="shared" si="10"/>
        <v>3969.6</v>
      </c>
      <c r="U21" s="10">
        <f t="shared" si="10"/>
        <v>4083</v>
      </c>
      <c r="V21" s="10">
        <f t="shared" si="10"/>
        <v>4164</v>
      </c>
      <c r="W21" s="10">
        <f t="shared" si="10"/>
        <v>4190.2</v>
      </c>
      <c r="X21" s="10">
        <f t="shared" si="10"/>
        <v>4103.2</v>
      </c>
      <c r="Y21" s="10">
        <f t="shared" si="10"/>
        <v>4096.6000000000004</v>
      </c>
      <c r="Z21" s="10">
        <f t="shared" si="10"/>
        <v>4097.8</v>
      </c>
      <c r="AA21" s="4"/>
      <c r="AB21" s="4"/>
      <c r="AC21" s="4"/>
      <c r="AD21" s="4"/>
      <c r="AE21" s="4"/>
      <c r="AF21" s="4"/>
      <c r="AG21" s="4"/>
      <c r="AH21" s="2"/>
      <c r="AI21" s="2"/>
    </row>
    <row r="22" spans="1:35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2"/>
      <c r="AI22" s="2"/>
    </row>
    <row r="23" spans="1:35" ht="12.75" customHeight="1" x14ac:dyDescent="0.25">
      <c r="A23" s="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"/>
      <c r="AE23" s="4"/>
      <c r="AF23" s="4"/>
      <c r="AG23" s="4"/>
      <c r="AH23" s="2"/>
      <c r="AI23" s="2"/>
    </row>
    <row r="24" spans="1:35" ht="12.75" customHeight="1" x14ac:dyDescent="0.25">
      <c r="A24" s="2"/>
      <c r="B24" s="2"/>
      <c r="C24" s="2"/>
      <c r="D24" s="2"/>
      <c r="E24" s="2"/>
      <c r="F24" s="2"/>
      <c r="G24" s="43"/>
      <c r="H24" s="43"/>
      <c r="I24" s="2"/>
      <c r="J24" s="2"/>
      <c r="K24" s="2"/>
      <c r="L24" s="2"/>
      <c r="M24" s="2"/>
      <c r="N24" s="2"/>
      <c r="O24" s="2"/>
      <c r="P24" s="2"/>
      <c r="Q24" s="2"/>
      <c r="R24" s="43"/>
      <c r="S24" s="2"/>
      <c r="T24" s="2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2"/>
      <c r="AI24" s="2"/>
    </row>
    <row r="25" spans="1:35" ht="12.75" customHeight="1" x14ac:dyDescent="0.25">
      <c r="A25" s="2"/>
      <c r="B25" s="2"/>
      <c r="C25" s="2"/>
      <c r="D25" s="2"/>
      <c r="E25" s="2"/>
      <c r="F25" s="2"/>
      <c r="G25" s="39"/>
      <c r="H25" s="39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2"/>
      <c r="AI25" s="2"/>
    </row>
    <row r="26" spans="1:35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9"/>
      <c r="S26" s="2"/>
      <c r="T26" s="2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2"/>
      <c r="AI26" s="2"/>
    </row>
    <row r="27" spans="1:35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2"/>
      <c r="AI27" s="2"/>
    </row>
    <row r="28" spans="1:35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2"/>
      <c r="AI28" s="2"/>
    </row>
    <row r="29" spans="1:35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2"/>
      <c r="AI29" s="2"/>
    </row>
    <row r="30" spans="1:35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2"/>
      <c r="AI30" s="2"/>
    </row>
    <row r="31" spans="1:35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2"/>
      <c r="AI31" s="2"/>
    </row>
    <row r="32" spans="1:35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2"/>
      <c r="AI32" s="2"/>
    </row>
    <row r="33" spans="1:35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2"/>
      <c r="AI33" s="2"/>
    </row>
    <row r="34" spans="1:35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2"/>
      <c r="AI34" s="2"/>
    </row>
    <row r="35" spans="1:35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2"/>
      <c r="AI35" s="2"/>
    </row>
    <row r="36" spans="1:35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2"/>
      <c r="AI36" s="2"/>
    </row>
    <row r="37" spans="1:35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2"/>
      <c r="AI37" s="2"/>
    </row>
    <row r="38" spans="1:35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2"/>
      <c r="AI38" s="2"/>
    </row>
    <row r="39" spans="1:35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2"/>
      <c r="AI39" s="2"/>
    </row>
    <row r="40" spans="1:35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2"/>
      <c r="AI40" s="2"/>
    </row>
    <row r="41" spans="1:35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2"/>
      <c r="AI41" s="2"/>
    </row>
    <row r="42" spans="1:35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2"/>
      <c r="AI42" s="2"/>
    </row>
    <row r="43" spans="1:35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2"/>
      <c r="AI43" s="2"/>
    </row>
    <row r="44" spans="1:35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2"/>
      <c r="AI44" s="2"/>
    </row>
    <row r="45" spans="1:35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2"/>
      <c r="AI45" s="2"/>
    </row>
    <row r="46" spans="1:35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2"/>
      <c r="AI46" s="2"/>
    </row>
    <row r="47" spans="1:35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2"/>
      <c r="AI47" s="2"/>
    </row>
    <row r="48" spans="1:35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2"/>
      <c r="AI48" s="2"/>
    </row>
    <row r="49" spans="1:35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2"/>
      <c r="AI49" s="2"/>
    </row>
    <row r="50" spans="1:35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2"/>
      <c r="AI50" s="2"/>
    </row>
    <row r="51" spans="1:35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2"/>
      <c r="AI51" s="2"/>
    </row>
    <row r="52" spans="1:35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2"/>
      <c r="AI52" s="2"/>
    </row>
    <row r="53" spans="1:35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2"/>
      <c r="AI53" s="2"/>
    </row>
    <row r="54" spans="1:35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2"/>
      <c r="AI54" s="2"/>
    </row>
    <row r="55" spans="1:35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2"/>
      <c r="AI55" s="2"/>
    </row>
    <row r="56" spans="1:35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2"/>
      <c r="AI56" s="2"/>
    </row>
    <row r="57" spans="1:35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2"/>
      <c r="AI57" s="2"/>
    </row>
    <row r="58" spans="1:35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2"/>
      <c r="AI58" s="2"/>
    </row>
    <row r="59" spans="1:35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2"/>
      <c r="AI59" s="2"/>
    </row>
    <row r="60" spans="1:35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2"/>
      <c r="AI60" s="2"/>
    </row>
    <row r="61" spans="1:35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2"/>
      <c r="AI61" s="2"/>
    </row>
    <row r="62" spans="1:35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2"/>
      <c r="AI62" s="2"/>
    </row>
    <row r="63" spans="1:35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2"/>
      <c r="AI63" s="2"/>
    </row>
    <row r="64" spans="1:35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2"/>
      <c r="AI64" s="2"/>
    </row>
    <row r="65" spans="1:35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2"/>
      <c r="AI65" s="2"/>
    </row>
    <row r="66" spans="1:35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2"/>
      <c r="AI66" s="2"/>
    </row>
    <row r="67" spans="1:35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2"/>
      <c r="AI67" s="2"/>
    </row>
    <row r="68" spans="1:35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2"/>
      <c r="AI68" s="2"/>
    </row>
    <row r="69" spans="1:35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2"/>
      <c r="AI69" s="2"/>
    </row>
    <row r="70" spans="1:35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2"/>
      <c r="AI70" s="2"/>
    </row>
    <row r="71" spans="1:35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2"/>
      <c r="AI71" s="2"/>
    </row>
    <row r="72" spans="1:35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2"/>
      <c r="AI72" s="2"/>
    </row>
    <row r="73" spans="1:35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2"/>
      <c r="AI73" s="2"/>
    </row>
    <row r="74" spans="1:35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2"/>
      <c r="AI74" s="2"/>
    </row>
    <row r="75" spans="1:35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2"/>
      <c r="AI75" s="2"/>
    </row>
    <row r="76" spans="1:35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2"/>
      <c r="AI76" s="2"/>
    </row>
    <row r="77" spans="1:35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2"/>
      <c r="AI77" s="2"/>
    </row>
    <row r="78" spans="1:35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2"/>
      <c r="AI78" s="2"/>
    </row>
    <row r="79" spans="1:35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2"/>
      <c r="AI79" s="2"/>
    </row>
    <row r="80" spans="1:35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2"/>
      <c r="AI80" s="2"/>
    </row>
    <row r="81" spans="1:35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2"/>
      <c r="AI81" s="2"/>
    </row>
    <row r="82" spans="1:35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2"/>
      <c r="AI82" s="2"/>
    </row>
    <row r="83" spans="1:35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2"/>
      <c r="AI83" s="2"/>
    </row>
    <row r="84" spans="1:35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2"/>
      <c r="AI84" s="2"/>
    </row>
    <row r="85" spans="1:35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2"/>
      <c r="AI85" s="2"/>
    </row>
    <row r="86" spans="1:35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2"/>
      <c r="AI86" s="2"/>
    </row>
    <row r="87" spans="1:35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2"/>
      <c r="AI87" s="2"/>
    </row>
    <row r="88" spans="1:35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2"/>
      <c r="AI88" s="2"/>
    </row>
    <row r="89" spans="1:35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2"/>
      <c r="AI89" s="2"/>
    </row>
    <row r="90" spans="1:35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2"/>
      <c r="AI90" s="2"/>
    </row>
    <row r="91" spans="1:35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2"/>
      <c r="AI91" s="2"/>
    </row>
    <row r="92" spans="1:35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2"/>
      <c r="AI92" s="2"/>
    </row>
    <row r="93" spans="1:35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2"/>
      <c r="AI93" s="2"/>
    </row>
    <row r="94" spans="1:35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2"/>
      <c r="AI94" s="2"/>
    </row>
    <row r="95" spans="1:35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2"/>
      <c r="AI95" s="2"/>
    </row>
    <row r="96" spans="1:35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2"/>
      <c r="AI96" s="2"/>
    </row>
    <row r="97" spans="1:35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2"/>
      <c r="AI97" s="2"/>
    </row>
    <row r="98" spans="1:35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2"/>
      <c r="AI98" s="2"/>
    </row>
    <row r="99" spans="1:35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2"/>
      <c r="AI99" s="2"/>
    </row>
    <row r="100" spans="1:35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2"/>
      <c r="AI100" s="2"/>
    </row>
    <row r="101" spans="1:35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2"/>
      <c r="AI101" s="2"/>
    </row>
    <row r="102" spans="1:35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2"/>
      <c r="AI102" s="2"/>
    </row>
    <row r="103" spans="1:35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2"/>
      <c r="AI103" s="2"/>
    </row>
    <row r="104" spans="1:35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2"/>
      <c r="AI104" s="2"/>
    </row>
    <row r="105" spans="1:35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2"/>
      <c r="AI105" s="2"/>
    </row>
    <row r="106" spans="1:35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2"/>
      <c r="AI106" s="2"/>
    </row>
    <row r="107" spans="1:35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2"/>
      <c r="AI107" s="2"/>
    </row>
    <row r="108" spans="1:35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2"/>
      <c r="AI108" s="2"/>
    </row>
    <row r="109" spans="1:35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2"/>
      <c r="AI109" s="2"/>
    </row>
    <row r="110" spans="1:35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2"/>
      <c r="AI110" s="2"/>
    </row>
    <row r="111" spans="1:35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2"/>
      <c r="AI111" s="2"/>
    </row>
    <row r="112" spans="1:35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2"/>
      <c r="AI112" s="2"/>
    </row>
    <row r="113" spans="1:35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2"/>
      <c r="AI113" s="2"/>
    </row>
    <row r="114" spans="1:35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2"/>
      <c r="AI114" s="2"/>
    </row>
    <row r="115" spans="1:35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2"/>
      <c r="AI115" s="2"/>
    </row>
    <row r="116" spans="1:35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2"/>
      <c r="AI116" s="2"/>
    </row>
    <row r="117" spans="1:35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2"/>
      <c r="AI117" s="2"/>
    </row>
    <row r="118" spans="1:35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2"/>
      <c r="AI118" s="2"/>
    </row>
    <row r="119" spans="1:35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2"/>
      <c r="AI119" s="2"/>
    </row>
    <row r="120" spans="1:35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2"/>
      <c r="AI120" s="2"/>
    </row>
    <row r="121" spans="1:35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2"/>
      <c r="AI121" s="2"/>
    </row>
    <row r="122" spans="1:35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2"/>
      <c r="AI122" s="2"/>
    </row>
    <row r="123" spans="1:35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2"/>
      <c r="AI123" s="2"/>
    </row>
    <row r="124" spans="1:35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2"/>
      <c r="AI124" s="2"/>
    </row>
    <row r="125" spans="1:35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2"/>
      <c r="AI125" s="2"/>
    </row>
    <row r="126" spans="1:35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2"/>
      <c r="AI126" s="2"/>
    </row>
    <row r="127" spans="1:35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2"/>
      <c r="AI127" s="2"/>
    </row>
    <row r="128" spans="1:35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2"/>
      <c r="AI128" s="2"/>
    </row>
    <row r="129" spans="1:35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2"/>
      <c r="AI129" s="2"/>
    </row>
    <row r="130" spans="1:35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2"/>
      <c r="AI130" s="2"/>
    </row>
    <row r="131" spans="1:35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2"/>
      <c r="AI131" s="2"/>
    </row>
    <row r="132" spans="1:35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2"/>
      <c r="AI132" s="2"/>
    </row>
    <row r="133" spans="1:35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2"/>
      <c r="AI133" s="2"/>
    </row>
    <row r="134" spans="1:35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2"/>
      <c r="AI134" s="2"/>
    </row>
    <row r="135" spans="1:35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2"/>
      <c r="AI135" s="2"/>
    </row>
    <row r="136" spans="1:35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2"/>
      <c r="AI136" s="2"/>
    </row>
    <row r="137" spans="1:35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2"/>
      <c r="AI137" s="2"/>
    </row>
    <row r="138" spans="1:35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2"/>
      <c r="AI138" s="2"/>
    </row>
    <row r="139" spans="1:35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2"/>
      <c r="AI139" s="2"/>
    </row>
    <row r="140" spans="1:35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2"/>
      <c r="AI140" s="2"/>
    </row>
    <row r="141" spans="1:35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2"/>
      <c r="AI141" s="2"/>
    </row>
    <row r="142" spans="1:35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2"/>
      <c r="AI142" s="2"/>
    </row>
    <row r="143" spans="1:35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2"/>
      <c r="AI143" s="2"/>
    </row>
    <row r="144" spans="1:35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2"/>
      <c r="AI144" s="2"/>
    </row>
    <row r="145" spans="1:35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2"/>
      <c r="AI145" s="2"/>
    </row>
    <row r="146" spans="1:35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2"/>
      <c r="AI146" s="2"/>
    </row>
    <row r="147" spans="1:35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2"/>
      <c r="AI147" s="2"/>
    </row>
    <row r="148" spans="1:35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2"/>
      <c r="AI148" s="2"/>
    </row>
    <row r="149" spans="1:35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2"/>
      <c r="AI149" s="2"/>
    </row>
    <row r="150" spans="1:35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2"/>
      <c r="AI150" s="2"/>
    </row>
    <row r="151" spans="1:35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2"/>
      <c r="AI151" s="2"/>
    </row>
    <row r="152" spans="1:35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2"/>
      <c r="AI152" s="2"/>
    </row>
    <row r="153" spans="1:35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2"/>
      <c r="AI153" s="2"/>
    </row>
    <row r="154" spans="1:35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2"/>
      <c r="AI154" s="2"/>
    </row>
    <row r="155" spans="1:35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2"/>
      <c r="AI155" s="2"/>
    </row>
    <row r="156" spans="1:35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2"/>
      <c r="AI156" s="2"/>
    </row>
    <row r="157" spans="1:35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2"/>
      <c r="AI157" s="2"/>
    </row>
    <row r="158" spans="1:35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2"/>
      <c r="AI158" s="2"/>
    </row>
    <row r="159" spans="1:35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2"/>
      <c r="AI159" s="2"/>
    </row>
    <row r="160" spans="1:35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2"/>
      <c r="AI160" s="2"/>
    </row>
    <row r="161" spans="1:35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2"/>
      <c r="AI161" s="2"/>
    </row>
    <row r="162" spans="1:35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2"/>
      <c r="AI162" s="2"/>
    </row>
    <row r="163" spans="1:35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2"/>
      <c r="AI163" s="2"/>
    </row>
    <row r="164" spans="1:35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2"/>
      <c r="AI164" s="2"/>
    </row>
    <row r="165" spans="1:35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2"/>
      <c r="AI165" s="2"/>
    </row>
    <row r="166" spans="1:35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2"/>
      <c r="AI166" s="2"/>
    </row>
    <row r="167" spans="1:35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2"/>
      <c r="AI167" s="2"/>
    </row>
    <row r="168" spans="1:35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2"/>
      <c r="AI168" s="2"/>
    </row>
    <row r="169" spans="1:35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2"/>
      <c r="AI169" s="2"/>
    </row>
    <row r="170" spans="1:35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2"/>
      <c r="AI170" s="2"/>
    </row>
    <row r="171" spans="1:35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2"/>
      <c r="AI171" s="2"/>
    </row>
    <row r="172" spans="1:35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2"/>
      <c r="AI172" s="2"/>
    </row>
    <row r="173" spans="1:35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2"/>
      <c r="AI173" s="2"/>
    </row>
    <row r="174" spans="1:35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2"/>
      <c r="AI174" s="2"/>
    </row>
    <row r="175" spans="1:35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2"/>
      <c r="AI175" s="2"/>
    </row>
    <row r="176" spans="1:35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2"/>
      <c r="AI176" s="2"/>
    </row>
    <row r="177" spans="1:35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2"/>
      <c r="AI177" s="2"/>
    </row>
    <row r="178" spans="1:35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2"/>
      <c r="AI178" s="2"/>
    </row>
    <row r="179" spans="1:35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2"/>
      <c r="AI179" s="2"/>
    </row>
    <row r="180" spans="1:35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2"/>
      <c r="AI180" s="2"/>
    </row>
    <row r="181" spans="1:35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2"/>
      <c r="AI181" s="2"/>
    </row>
    <row r="182" spans="1:35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2"/>
      <c r="AI182" s="2"/>
    </row>
    <row r="183" spans="1:35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2"/>
      <c r="AI183" s="2"/>
    </row>
    <row r="184" spans="1:35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2"/>
      <c r="AI184" s="2"/>
    </row>
    <row r="185" spans="1:35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2"/>
      <c r="AI185" s="2"/>
    </row>
    <row r="186" spans="1:35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2"/>
      <c r="AI186" s="2"/>
    </row>
    <row r="187" spans="1:35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2"/>
      <c r="AI187" s="2"/>
    </row>
    <row r="188" spans="1:35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2"/>
      <c r="AI188" s="2"/>
    </row>
    <row r="189" spans="1:35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2"/>
      <c r="AI189" s="2"/>
    </row>
    <row r="190" spans="1:35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2"/>
      <c r="AI190" s="2"/>
    </row>
    <row r="191" spans="1:35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2"/>
      <c r="AI191" s="2"/>
    </row>
    <row r="192" spans="1:35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2"/>
      <c r="AI192" s="2"/>
    </row>
    <row r="193" spans="1:35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2"/>
      <c r="AI193" s="2"/>
    </row>
    <row r="194" spans="1:35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2"/>
      <c r="AI194" s="2"/>
    </row>
    <row r="195" spans="1:35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2"/>
      <c r="AI195" s="2"/>
    </row>
    <row r="196" spans="1:35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2"/>
      <c r="AI196" s="2"/>
    </row>
    <row r="197" spans="1:35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2"/>
      <c r="AI197" s="2"/>
    </row>
    <row r="198" spans="1:35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2"/>
      <c r="AI198" s="2"/>
    </row>
    <row r="199" spans="1:35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2"/>
      <c r="AI199" s="2"/>
    </row>
    <row r="200" spans="1:35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2"/>
      <c r="AI200" s="2"/>
    </row>
    <row r="201" spans="1:35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2"/>
      <c r="AI201" s="2"/>
    </row>
    <row r="202" spans="1:35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2"/>
      <c r="AI202" s="2"/>
    </row>
    <row r="203" spans="1:35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2"/>
      <c r="AI203" s="2"/>
    </row>
    <row r="204" spans="1:35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2"/>
      <c r="AI204" s="2"/>
    </row>
    <row r="205" spans="1:35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2"/>
      <c r="AI205" s="2"/>
    </row>
    <row r="206" spans="1:35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2"/>
      <c r="AI206" s="2"/>
    </row>
    <row r="207" spans="1:35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2"/>
      <c r="AI207" s="2"/>
    </row>
    <row r="208" spans="1:35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2"/>
      <c r="AI208" s="2"/>
    </row>
    <row r="209" spans="1:35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2"/>
      <c r="AI209" s="2"/>
    </row>
    <row r="210" spans="1:35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2"/>
      <c r="AI210" s="2"/>
    </row>
    <row r="211" spans="1:35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2"/>
      <c r="AI211" s="2"/>
    </row>
    <row r="212" spans="1:35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2"/>
      <c r="AI212" s="2"/>
    </row>
    <row r="213" spans="1:35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2"/>
      <c r="AI213" s="2"/>
    </row>
    <row r="214" spans="1:35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2"/>
      <c r="AI214" s="2"/>
    </row>
    <row r="215" spans="1:35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2"/>
      <c r="AI215" s="2"/>
    </row>
    <row r="216" spans="1:35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2"/>
      <c r="AI216" s="2"/>
    </row>
    <row r="217" spans="1:35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2"/>
      <c r="AI217" s="2"/>
    </row>
    <row r="218" spans="1:35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2"/>
      <c r="AI218" s="2"/>
    </row>
    <row r="219" spans="1:35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2"/>
      <c r="AI219" s="2"/>
    </row>
    <row r="220" spans="1:35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2"/>
      <c r="AI220" s="2"/>
    </row>
    <row r="221" spans="1:35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2"/>
      <c r="AI221" s="2"/>
    </row>
    <row r="222" spans="1:35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1:35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1:35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1:35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1:35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1:35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1:35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1:35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1:35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1:35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1:35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1:35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1:35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1:35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1:35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1:35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1:35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1:35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1:35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1:35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1:35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1:35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1:35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1:35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1:35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1:35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1:35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1:35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1:35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1:35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1:35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1:35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1:35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1:35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1:35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1:35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1:35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1:35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1:35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1:35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1:35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1:35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1:35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1:35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1:35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1:35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1:35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1:35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1:35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1:35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1:35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1:35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1:35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1:35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1:35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1:35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1:35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1:35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1:35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1:35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1:35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1:35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1:35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1:35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1:35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1:35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1:35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1:35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1:35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1:35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1:35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1:35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1:35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1:35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1:35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1:35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spans="1:35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spans="1:35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spans="1:35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spans="1:35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spans="1:35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spans="1:35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spans="1:35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spans="1:35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spans="1:35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spans="1:35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spans="1:35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spans="1:35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spans="1:35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spans="1:35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spans="1:35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spans="1:35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spans="1:35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spans="1:35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spans="1:35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spans="1:35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spans="1:35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spans="1:35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spans="1:35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spans="1:35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spans="1:35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spans="1:35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spans="1:35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spans="1:35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spans="1:35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spans="1:35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spans="1:35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spans="1:35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spans="1:35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spans="1:35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spans="1:35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spans="1:35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spans="1:35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spans="1:35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spans="1:35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spans="1:35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spans="1:35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spans="1:35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spans="1:35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spans="1:35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spans="1:35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spans="1:35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spans="1:35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spans="1:35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spans="1:35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spans="1:35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spans="1:35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spans="1:35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spans="1:35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spans="1:35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spans="1:35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spans="1:35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spans="1:35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spans="1:35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spans="1:35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spans="1:35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spans="1:35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spans="1:35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spans="1:35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spans="1:35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spans="1:35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spans="1:35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spans="1:35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spans="1:35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spans="1:35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spans="1:35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spans="1:35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spans="1:35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spans="1:35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spans="1:35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spans="1:35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spans="1:35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spans="1:35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spans="1:35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spans="1:35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spans="1:35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spans="1:35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spans="1:35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spans="1:35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spans="1:35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spans="1:35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spans="1:35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spans="1:35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spans="1:35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spans="1:35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spans="1:35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spans="1:35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spans="1:35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spans="1:35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spans="1:35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spans="1:35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spans="1:35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spans="1:35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spans="1:35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spans="1:35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spans="1:35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spans="1:35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spans="1:35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spans="1:35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spans="1:35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spans="1:35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spans="1:35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spans="1:35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spans="1:35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spans="1:35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spans="1:35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spans="1:35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spans="1:35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spans="1:35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spans="1:35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spans="1:35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spans="1:35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spans="1:35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spans="1:35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spans="1:35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spans="1:35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spans="1:35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spans="1:35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spans="1:35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spans="1:35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spans="1:35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spans="1:35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spans="1:35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spans="1:35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spans="1:35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spans="1:35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spans="1:35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spans="1:35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spans="1:35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spans="1:35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spans="1:35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spans="1:35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spans="1:35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spans="1:35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spans="1:35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spans="1:35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spans="1:35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spans="1:35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spans="1:35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spans="1:35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spans="1:35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spans="1:35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spans="1:35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spans="1:35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spans="1:35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spans="1:35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spans="1:35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spans="1:35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spans="1:35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spans="1:35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spans="1:35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spans="1:35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spans="1:35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spans="1:35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spans="1:35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spans="1:35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spans="1:35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spans="1:35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spans="1:35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spans="1:35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spans="1:35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spans="1:35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spans="1:35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spans="1:35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spans="1:35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spans="1:35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spans="1:35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spans="1:35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spans="1:35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spans="1:35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spans="1:35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spans="1:35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spans="1:35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spans="1:35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spans="1:35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spans="1:35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spans="1:35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spans="1:35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spans="1:35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spans="1:35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spans="1:35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spans="1:35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spans="1:35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spans="1:35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spans="1:35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spans="1:35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spans="1:35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spans="1:35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spans="1:35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spans="1:35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spans="1:35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spans="1:35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spans="1:35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spans="1:35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spans="1:35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spans="1:35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spans="1:35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spans="1:35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spans="1:35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spans="1:35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spans="1:35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spans="1:35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spans="1:35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spans="1:35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spans="1:35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spans="1:35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spans="1:35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spans="1:35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spans="1:35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spans="1:35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spans="1:35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spans="1:35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spans="1:35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spans="1:35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spans="1:35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spans="1:35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spans="1:35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spans="1:35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spans="1:35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spans="1:35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spans="1:35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spans="1:35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spans="1:35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spans="1:35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spans="1:35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spans="1:35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spans="1:35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spans="1:35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spans="1:35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spans="1:35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spans="1:35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spans="1:35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spans="1:35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spans="1:35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spans="1:35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spans="1:35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spans="1:35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spans="1:35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spans="1:35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spans="1:35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spans="1:35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spans="1:35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spans="1:35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spans="1:35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spans="1:35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spans="1:35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spans="1:35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spans="1:35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spans="1:35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spans="1:35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spans="1:35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spans="1:35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spans="1:35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spans="1:35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spans="1:35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spans="1:35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spans="1:35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spans="1:35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spans="1:35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spans="1:35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spans="1:35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spans="1:35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spans="1:35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spans="1:35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spans="1:35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spans="1:35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spans="1:35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spans="1:35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spans="1:35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spans="1:35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spans="1:35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spans="1:35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spans="1:35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spans="1:35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spans="1:35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spans="1:35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spans="1:35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spans="1:35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spans="1:35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spans="1:35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spans="1:35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spans="1:35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spans="1:35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spans="1:35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spans="1:35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spans="1:35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spans="1:35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spans="1:35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spans="1:35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spans="1:35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spans="1:35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spans="1:35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spans="1:35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spans="1:35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spans="1:35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spans="1:35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spans="1:35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spans="1:35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spans="1:35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spans="1:35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spans="1:35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spans="1:35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spans="1:35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spans="1:35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spans="1:35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spans="1:35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spans="1:35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spans="1:35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spans="1:35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spans="1:35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spans="1:35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spans="1:35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spans="1:35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spans="1:35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spans="1:35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spans="1:35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spans="1:35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spans="1:35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spans="1:35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spans="1:35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spans="1:35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spans="1:35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spans="1:35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spans="1:35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spans="1:35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spans="1:35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spans="1:35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spans="1:35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spans="1:35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spans="1:35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spans="1:35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  <row r="789" spans="1:35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</row>
    <row r="790" spans="1:35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</row>
    <row r="791" spans="1:35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</row>
    <row r="792" spans="1:35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</row>
    <row r="793" spans="1:35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</row>
    <row r="794" spans="1:35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</row>
    <row r="795" spans="1:35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</row>
    <row r="796" spans="1:35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</row>
    <row r="797" spans="1:35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</row>
    <row r="798" spans="1:35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</row>
    <row r="799" spans="1:35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</row>
    <row r="800" spans="1:35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</row>
    <row r="801" spans="1:35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</row>
    <row r="802" spans="1:35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</row>
    <row r="803" spans="1:35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</row>
    <row r="804" spans="1:35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</row>
    <row r="805" spans="1:35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</row>
    <row r="806" spans="1:35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</row>
    <row r="807" spans="1:35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</row>
    <row r="808" spans="1:35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</row>
    <row r="809" spans="1:35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</row>
    <row r="810" spans="1:35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</row>
    <row r="811" spans="1:35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</row>
    <row r="812" spans="1:35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</row>
    <row r="813" spans="1:35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</row>
    <row r="814" spans="1:35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</row>
    <row r="815" spans="1:35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</row>
    <row r="816" spans="1:35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</row>
    <row r="817" spans="1:35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</row>
    <row r="818" spans="1:35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</row>
    <row r="819" spans="1:35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</row>
    <row r="820" spans="1:35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</row>
    <row r="821" spans="1:35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</row>
    <row r="822" spans="1:35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</row>
    <row r="823" spans="1:35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</row>
    <row r="824" spans="1:35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</row>
    <row r="825" spans="1:35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</row>
    <row r="826" spans="1:35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</row>
    <row r="827" spans="1:35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</row>
    <row r="828" spans="1:35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</row>
    <row r="829" spans="1:35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</row>
    <row r="830" spans="1:35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</row>
    <row r="831" spans="1:35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</row>
    <row r="832" spans="1:35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</row>
    <row r="833" spans="1:35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</row>
    <row r="834" spans="1:35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</row>
    <row r="835" spans="1:35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</row>
    <row r="836" spans="1:35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</row>
    <row r="837" spans="1:35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</row>
    <row r="838" spans="1:35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</row>
    <row r="839" spans="1:35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</row>
    <row r="840" spans="1:35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</row>
    <row r="841" spans="1:35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</row>
    <row r="842" spans="1:35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</row>
    <row r="843" spans="1:35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</row>
    <row r="844" spans="1:35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</row>
    <row r="845" spans="1:35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</row>
    <row r="846" spans="1:35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</row>
    <row r="847" spans="1:35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</row>
    <row r="848" spans="1:35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</row>
    <row r="849" spans="1:35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</row>
    <row r="850" spans="1:35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</row>
    <row r="851" spans="1:35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</row>
    <row r="852" spans="1:35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</row>
    <row r="853" spans="1:35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</row>
    <row r="854" spans="1:35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</row>
    <row r="855" spans="1:35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</row>
    <row r="856" spans="1:35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</row>
    <row r="857" spans="1:35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</row>
    <row r="858" spans="1:35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</row>
    <row r="859" spans="1:35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</row>
    <row r="860" spans="1:35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</row>
    <row r="861" spans="1:35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</row>
    <row r="862" spans="1:35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</row>
    <row r="863" spans="1:35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</row>
    <row r="864" spans="1:35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</row>
    <row r="865" spans="1:35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</row>
    <row r="866" spans="1:35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</row>
    <row r="867" spans="1:35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</row>
    <row r="868" spans="1:35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</row>
    <row r="869" spans="1:35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</row>
    <row r="870" spans="1:35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</row>
    <row r="871" spans="1:35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</row>
    <row r="872" spans="1:35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</row>
    <row r="873" spans="1:35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</row>
    <row r="874" spans="1:35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</row>
    <row r="875" spans="1:35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</row>
    <row r="876" spans="1:35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</row>
    <row r="877" spans="1:35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</row>
    <row r="878" spans="1:35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</row>
    <row r="879" spans="1:35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</row>
    <row r="880" spans="1:35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</row>
    <row r="881" spans="1:35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</row>
    <row r="882" spans="1:35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</row>
    <row r="883" spans="1:35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</row>
    <row r="884" spans="1:35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</row>
    <row r="885" spans="1:35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</row>
    <row r="886" spans="1:35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</row>
    <row r="887" spans="1:35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</row>
    <row r="888" spans="1:35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</row>
    <row r="889" spans="1:35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</row>
    <row r="890" spans="1:35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</row>
    <row r="891" spans="1:35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</row>
    <row r="892" spans="1:35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</row>
    <row r="893" spans="1:35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</row>
    <row r="894" spans="1:35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</row>
    <row r="895" spans="1:35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</row>
    <row r="896" spans="1:35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</row>
    <row r="897" spans="1:35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</row>
    <row r="898" spans="1:35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</row>
    <row r="899" spans="1:35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</row>
    <row r="900" spans="1:35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</row>
    <row r="901" spans="1:35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</row>
    <row r="902" spans="1:35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</row>
    <row r="903" spans="1:35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</row>
    <row r="904" spans="1:35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</row>
    <row r="905" spans="1:35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</row>
    <row r="906" spans="1:35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</row>
    <row r="907" spans="1:35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</row>
    <row r="908" spans="1:35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</row>
    <row r="909" spans="1:35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</row>
    <row r="910" spans="1:35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</row>
    <row r="911" spans="1:35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</row>
    <row r="912" spans="1:35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</row>
    <row r="913" spans="1:35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</row>
    <row r="914" spans="1:35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</row>
    <row r="915" spans="1:35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</row>
    <row r="916" spans="1:35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</row>
    <row r="917" spans="1:35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</row>
    <row r="918" spans="1:35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</row>
    <row r="919" spans="1:35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</row>
    <row r="920" spans="1:35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</row>
    <row r="921" spans="1:35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</row>
    <row r="922" spans="1:35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</row>
    <row r="923" spans="1:35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</row>
    <row r="924" spans="1:35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</row>
    <row r="925" spans="1:35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</row>
    <row r="926" spans="1:35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</row>
    <row r="927" spans="1:35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</row>
    <row r="928" spans="1:35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</row>
    <row r="929" spans="1:35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</row>
    <row r="930" spans="1:35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</row>
    <row r="931" spans="1:35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</row>
    <row r="932" spans="1:35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</row>
    <row r="933" spans="1:35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</row>
    <row r="934" spans="1:35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</row>
    <row r="935" spans="1:35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</row>
    <row r="936" spans="1:35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</row>
    <row r="937" spans="1:35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</row>
    <row r="938" spans="1:35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</row>
    <row r="939" spans="1:35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</row>
    <row r="940" spans="1:35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</row>
    <row r="941" spans="1:35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</row>
    <row r="942" spans="1:35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</row>
    <row r="943" spans="1:35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</row>
    <row r="944" spans="1:35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</row>
    <row r="945" spans="1:35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</row>
    <row r="946" spans="1:35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</row>
    <row r="947" spans="1:35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</row>
    <row r="948" spans="1:35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</row>
    <row r="949" spans="1:35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</row>
    <row r="950" spans="1:35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</row>
    <row r="951" spans="1:35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</row>
    <row r="952" spans="1:35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</row>
    <row r="953" spans="1:35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</row>
    <row r="954" spans="1:35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</row>
    <row r="955" spans="1:35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</row>
    <row r="956" spans="1:35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</row>
    <row r="957" spans="1:35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</row>
    <row r="958" spans="1:35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</row>
    <row r="959" spans="1:35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</row>
    <row r="960" spans="1:35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</row>
    <row r="961" spans="1:35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</row>
    <row r="962" spans="1:35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</row>
    <row r="963" spans="1:35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</row>
    <row r="964" spans="1:35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</row>
    <row r="965" spans="1:35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</row>
    <row r="966" spans="1:35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</row>
    <row r="967" spans="1:35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</row>
    <row r="968" spans="1:35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</row>
    <row r="969" spans="1:35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</row>
    <row r="970" spans="1:35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</row>
    <row r="971" spans="1:35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</row>
    <row r="972" spans="1:35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</row>
    <row r="973" spans="1:35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</row>
    <row r="974" spans="1:35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</row>
    <row r="975" spans="1:35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</row>
    <row r="976" spans="1:35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</row>
    <row r="977" spans="1:35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</row>
    <row r="978" spans="1:35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</row>
    <row r="979" spans="1:35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</row>
    <row r="980" spans="1:35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</row>
    <row r="981" spans="1:35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</row>
    <row r="982" spans="1:35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</row>
    <row r="983" spans="1:35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</row>
    <row r="984" spans="1:35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</row>
    <row r="985" spans="1:35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</row>
    <row r="986" spans="1:35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</row>
    <row r="987" spans="1:35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</row>
    <row r="988" spans="1:35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</row>
    <row r="989" spans="1:35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</row>
    <row r="990" spans="1:35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</row>
    <row r="991" spans="1:35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</row>
    <row r="992" spans="1:35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</row>
    <row r="993" spans="1:35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</row>
    <row r="994" spans="1:35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</row>
    <row r="995" spans="1:35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</row>
    <row r="996" spans="1:35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</row>
    <row r="997" spans="1:35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</row>
    <row r="998" spans="1:35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</row>
    <row r="999" spans="1:35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</row>
    <row r="1000" spans="1:35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</row>
  </sheetData>
  <mergeCells count="2">
    <mergeCell ref="A1:AD1"/>
    <mergeCell ref="A2:AD2"/>
  </mergeCells>
  <hyperlinks>
    <hyperlink ref="A1" r:id="rId1" location="lammitystarvelukus" xr:uid="{00000000-0004-0000-0300-000000000000}"/>
  </hyperlinks>
  <pageMargins left="0.39374999999999999" right="0.39374999999999999" top="0.59027777777777801" bottom="0.59027777777777801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1000"/>
  <sheetViews>
    <sheetView workbookViewId="0">
      <selection activeCell="U14" sqref="U14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5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11.997934782608695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11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2025</v>
      </c>
      <c r="B8" s="25" t="s">
        <v>27</v>
      </c>
      <c r="C8" s="26" t="s">
        <v>28</v>
      </c>
      <c r="D8" s="27">
        <v>-1.8</v>
      </c>
      <c r="E8" s="27">
        <v>-3.3</v>
      </c>
      <c r="F8" s="27">
        <v>1.8</v>
      </c>
      <c r="G8" s="27">
        <v>5.3</v>
      </c>
      <c r="H8" s="27">
        <v>8.9</v>
      </c>
      <c r="I8" s="27">
        <v>13.9</v>
      </c>
      <c r="J8" s="27">
        <v>19.8</v>
      </c>
      <c r="K8" s="27">
        <v>14.6</v>
      </c>
      <c r="L8" s="27">
        <v>12.7</v>
      </c>
      <c r="M8" s="27">
        <v>6.2</v>
      </c>
      <c r="N8" s="27">
        <v>3.1</v>
      </c>
      <c r="O8" s="28">
        <v>0.8</v>
      </c>
      <c r="P8" s="27">
        <f>AVERAGE(D8:O8)</f>
        <v>6.833333333333333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2025</v>
      </c>
      <c r="B9" s="25" t="s">
        <v>29</v>
      </c>
      <c r="C9" s="30" t="s">
        <v>30</v>
      </c>
      <c r="D9" s="31">
        <v>519.74</v>
      </c>
      <c r="E9" s="31">
        <v>492.9</v>
      </c>
      <c r="F9" s="31">
        <v>373.59000000000003</v>
      </c>
      <c r="G9" s="31">
        <v>352.95000000000005</v>
      </c>
      <c r="H9" s="31">
        <v>366.08</v>
      </c>
      <c r="I9" s="31">
        <v>266.64</v>
      </c>
      <c r="J9" s="31">
        <v>194.29999999999998</v>
      </c>
      <c r="K9" s="31">
        <v>178.91</v>
      </c>
      <c r="L9" s="31">
        <v>212.07000000000002</v>
      </c>
      <c r="M9" s="44">
        <v>342.78</v>
      </c>
      <c r="N9" s="31">
        <v>384.2999999999999</v>
      </c>
      <c r="O9" s="32">
        <v>477.40999999999997</v>
      </c>
      <c r="P9" s="31">
        <f t="shared" ref="P9:P13" si="0">SUM(D9:O9)</f>
        <v>4161.67</v>
      </c>
      <c r="Q9" s="2"/>
      <c r="R9" s="33">
        <f t="shared" ref="R9:R12" si="1">P9/$P$11</f>
        <v>0.58964121411680703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2025</v>
      </c>
      <c r="B10" s="25" t="s">
        <v>31</v>
      </c>
      <c r="C10" s="30" t="s">
        <v>30</v>
      </c>
      <c r="D10" s="31">
        <v>375.96000000000009</v>
      </c>
      <c r="E10" s="31">
        <v>339.12000000000006</v>
      </c>
      <c r="F10" s="31">
        <v>302.91000000000003</v>
      </c>
      <c r="G10" s="31">
        <v>238.29</v>
      </c>
      <c r="H10" s="31">
        <v>142.87</v>
      </c>
      <c r="I10" s="31">
        <v>152.01999999999998</v>
      </c>
      <c r="J10" s="31">
        <v>203.77</v>
      </c>
      <c r="K10" s="31">
        <v>108.17</v>
      </c>
      <c r="L10" s="31">
        <v>162.99999999999997</v>
      </c>
      <c r="M10" s="31">
        <v>238.51999999999995</v>
      </c>
      <c r="N10" s="32">
        <v>292.26</v>
      </c>
      <c r="O10" s="37">
        <v>339.41</v>
      </c>
      <c r="P10" s="38">
        <f t="shared" si="0"/>
        <v>2896.3</v>
      </c>
      <c r="Q10" s="39"/>
      <c r="R10" s="33">
        <f t="shared" si="1"/>
        <v>0.41035878588319313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96">
        <v>2025</v>
      </c>
      <c r="B11" s="13" t="s">
        <v>32</v>
      </c>
      <c r="C11" s="14" t="s">
        <v>30</v>
      </c>
      <c r="D11" s="40">
        <f t="shared" ref="D11:O11" si="2">SUM(D9:D10)</f>
        <v>895.7</v>
      </c>
      <c r="E11" s="40">
        <f t="shared" si="2"/>
        <v>832.02</v>
      </c>
      <c r="F11" s="40">
        <f t="shared" si="2"/>
        <v>676.5</v>
      </c>
      <c r="G11" s="40">
        <f t="shared" si="2"/>
        <v>591.24</v>
      </c>
      <c r="H11" s="40">
        <f t="shared" si="2"/>
        <v>508.95</v>
      </c>
      <c r="I11" s="40">
        <f t="shared" si="2"/>
        <v>418.65999999999997</v>
      </c>
      <c r="J11" s="40">
        <f t="shared" si="2"/>
        <v>398.07</v>
      </c>
      <c r="K11" s="40">
        <f t="shared" si="2"/>
        <v>287.08</v>
      </c>
      <c r="L11" s="40">
        <f t="shared" si="2"/>
        <v>375.07</v>
      </c>
      <c r="M11" s="40">
        <f t="shared" si="2"/>
        <v>581.29999999999995</v>
      </c>
      <c r="N11" s="40">
        <f t="shared" si="2"/>
        <v>676.56</v>
      </c>
      <c r="O11" s="40">
        <f t="shared" si="2"/>
        <v>816.81999999999994</v>
      </c>
      <c r="P11" s="40">
        <f t="shared" si="0"/>
        <v>7057.9699999999993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2025</v>
      </c>
      <c r="B12" s="25" t="s">
        <v>33</v>
      </c>
      <c r="C12" s="30" t="s">
        <v>30</v>
      </c>
      <c r="D12" s="44">
        <f>(4147.33-3742.63)</f>
        <v>404.69999999999982</v>
      </c>
      <c r="E12" s="44">
        <f>(4526.2-4147.33)</f>
        <v>378.86999999999989</v>
      </c>
      <c r="F12" s="44">
        <f>(4798.49-4526.2)</f>
        <v>272.28999999999996</v>
      </c>
      <c r="G12" s="44">
        <f>(4959.55-4798.49)</f>
        <v>161.0600000000004</v>
      </c>
      <c r="H12" s="44">
        <f>(5048.11-4959.55)</f>
        <v>88.559999999999491</v>
      </c>
      <c r="I12" s="44">
        <f>(5080.62-5048.11)-3</f>
        <v>29.510000000000218</v>
      </c>
      <c r="J12" s="44">
        <f>(5118.31-5080.62)--2.32-34.85</f>
        <v>5.1600000000005082</v>
      </c>
      <c r="K12" s="44">
        <f>(5141.26-5118.31)-1.81</f>
        <v>21.139999999999819</v>
      </c>
      <c r="L12" s="44">
        <f>(5207.35-5141.26)</f>
        <v>66.090000000000146</v>
      </c>
      <c r="M12" s="44">
        <f>(5372.04-5207.35)</f>
        <v>164.6899999999996</v>
      </c>
      <c r="N12" s="44">
        <f>(5644.52-5372.04)</f>
        <v>272.48000000000047</v>
      </c>
      <c r="O12" s="44">
        <f>(5942.19-5644.52)</f>
        <v>297.66999999999916</v>
      </c>
      <c r="P12" s="40">
        <f t="shared" si="0"/>
        <v>2162.2199999999993</v>
      </c>
      <c r="Q12" s="39"/>
      <c r="R12" s="33">
        <f t="shared" si="1"/>
        <v>0.30635154300740858</v>
      </c>
      <c r="S12" s="34"/>
      <c r="T12" s="29"/>
      <c r="U12" s="11"/>
      <c r="V12" s="2"/>
      <c r="W12" s="39" t="s">
        <v>34</v>
      </c>
      <c r="X12" s="11">
        <f>P12+'2024'!X12</f>
        <v>38242.287478991602</v>
      </c>
      <c r="Y12" s="2" t="s">
        <v>30</v>
      </c>
      <c r="Z12" s="11">
        <f>X12*1000/400</f>
        <v>95605.718697479009</v>
      </c>
      <c r="AA12" s="2" t="s">
        <v>35</v>
      </c>
    </row>
    <row r="13" spans="1:27" ht="12.75" customHeight="1" x14ac:dyDescent="0.25">
      <c r="A13" s="24">
        <v>2025</v>
      </c>
      <c r="B13" s="41" t="s">
        <v>36</v>
      </c>
      <c r="C13" s="26" t="s">
        <v>37</v>
      </c>
      <c r="D13" s="31">
        <f>604/1.02</f>
        <v>592.15686274509801</v>
      </c>
      <c r="E13" s="31">
        <f>580/1.02</f>
        <v>568.62745098039215</v>
      </c>
      <c r="F13" s="31">
        <f>480/1.02</f>
        <v>470.58823529411762</v>
      </c>
      <c r="G13" s="31">
        <f>327/1.02</f>
        <v>320.58823529411762</v>
      </c>
      <c r="H13" s="31">
        <f>168/1.02</f>
        <v>164.70588235294116</v>
      </c>
      <c r="I13" s="31">
        <v>0</v>
      </c>
      <c r="J13" s="31">
        <v>0</v>
      </c>
      <c r="K13" s="31">
        <f>25/1.04</f>
        <v>24.038461538461537</v>
      </c>
      <c r="L13" s="31">
        <f>84/1.02</f>
        <v>82.35294117647058</v>
      </c>
      <c r="M13" s="31">
        <f>324/1.02</f>
        <v>317.64705882352939</v>
      </c>
      <c r="N13" s="31">
        <f>427/1.02</f>
        <v>418.62745098039215</v>
      </c>
      <c r="O13" s="42">
        <f>507/1.02</f>
        <v>497.05882352941177</v>
      </c>
      <c r="P13" s="31">
        <f t="shared" si="0"/>
        <v>3456.3914027149317</v>
      </c>
      <c r="Q13" s="36"/>
      <c r="R13" s="33">
        <f>(P14-P13)/P14</f>
        <v>0.16813684651866867</v>
      </c>
      <c r="S13" s="2"/>
      <c r="T13" s="29"/>
      <c r="U13" s="29"/>
      <c r="V13" s="2"/>
      <c r="W13" s="36" t="s">
        <v>38</v>
      </c>
      <c r="X13" s="11">
        <f>X12*2.7-X12</f>
        <v>65011.888714285735</v>
      </c>
      <c r="Y13" s="2" t="s">
        <v>30</v>
      </c>
      <c r="Z13" s="2"/>
      <c r="AA13" s="2"/>
    </row>
    <row r="14" spans="1:27" ht="12.75" customHeight="1" x14ac:dyDescent="0.25">
      <c r="A14" s="24">
        <v>2025</v>
      </c>
      <c r="B14" s="41" t="s">
        <v>39</v>
      </c>
      <c r="C14" s="26" t="s">
        <v>40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2025</v>
      </c>
      <c r="B15" s="25" t="s">
        <v>41</v>
      </c>
      <c r="C15" s="30" t="s">
        <v>30</v>
      </c>
      <c r="D15" s="31">
        <v>171</v>
      </c>
      <c r="E15" s="31">
        <v>152.5</v>
      </c>
      <c r="F15" s="31">
        <v>150</v>
      </c>
      <c r="G15" s="31">
        <v>157</v>
      </c>
      <c r="H15" s="44">
        <v>180</v>
      </c>
      <c r="I15" s="31">
        <v>170</v>
      </c>
      <c r="J15" s="31">
        <v>159</v>
      </c>
      <c r="K15" s="31">
        <v>118</v>
      </c>
      <c r="L15" s="31">
        <v>124</v>
      </c>
      <c r="M15" s="31">
        <v>153</v>
      </c>
      <c r="N15" s="31">
        <v>156</v>
      </c>
      <c r="O15" s="42">
        <v>180</v>
      </c>
      <c r="P15" s="31">
        <f t="shared" ref="P15:P17" si="3">SUM(D15:O15)</f>
        <v>1870.5</v>
      </c>
      <c r="Q15" s="2"/>
      <c r="R15" s="33">
        <f>P15/$P$11</f>
        <v>0.26501954528001681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2025</v>
      </c>
      <c r="B16" s="25" t="s">
        <v>42</v>
      </c>
      <c r="C16" s="30" t="s">
        <v>30</v>
      </c>
      <c r="D16" s="31">
        <f t="shared" ref="D16:O16" si="4">D12</f>
        <v>404.69999999999982</v>
      </c>
      <c r="E16" s="31">
        <f t="shared" si="4"/>
        <v>378.86999999999989</v>
      </c>
      <c r="F16" s="31">
        <f t="shared" si="4"/>
        <v>272.28999999999996</v>
      </c>
      <c r="G16" s="31">
        <f t="shared" si="4"/>
        <v>161.0600000000004</v>
      </c>
      <c r="H16" s="31">
        <f t="shared" si="4"/>
        <v>88.559999999999491</v>
      </c>
      <c r="I16" s="31">
        <f t="shared" si="4"/>
        <v>29.510000000000218</v>
      </c>
      <c r="J16" s="31">
        <f t="shared" si="4"/>
        <v>5.1600000000005082</v>
      </c>
      <c r="K16" s="31">
        <f t="shared" si="4"/>
        <v>21.139999999999819</v>
      </c>
      <c r="L16" s="31">
        <f t="shared" si="4"/>
        <v>66.090000000000146</v>
      </c>
      <c r="M16" s="31">
        <f t="shared" si="4"/>
        <v>164.6899999999996</v>
      </c>
      <c r="N16" s="31">
        <f t="shared" si="4"/>
        <v>272.48000000000047</v>
      </c>
      <c r="O16" s="31">
        <f t="shared" si="4"/>
        <v>297.66999999999916</v>
      </c>
      <c r="P16" s="31">
        <f t="shared" si="3"/>
        <v>2162.2199999999993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2025</v>
      </c>
      <c r="B17" s="25" t="s">
        <v>43</v>
      </c>
      <c r="C17" s="30" t="s">
        <v>30</v>
      </c>
      <c r="D17" s="31">
        <f t="shared" ref="D17:G17" si="5">IF(D16&lt;0,0,((D14/D13))*D16)</f>
        <v>473.61960596026472</v>
      </c>
      <c r="E17" s="31">
        <f t="shared" si="5"/>
        <v>427.09100586206887</v>
      </c>
      <c r="F17" s="31">
        <f t="shared" si="5"/>
        <v>340.22635499999996</v>
      </c>
      <c r="G17" s="31">
        <f t="shared" si="5"/>
        <v>190.40542752293629</v>
      </c>
      <c r="H17" s="31">
        <f>IF(H16=0,0,((H14/H13))*H16)</f>
        <v>82.803599999999534</v>
      </c>
      <c r="I17" s="46">
        <f t="shared" ref="I17:K17" si="6">I16</f>
        <v>29.510000000000218</v>
      </c>
      <c r="J17" s="46">
        <f t="shared" si="6"/>
        <v>5.1600000000005082</v>
      </c>
      <c r="K17" s="46">
        <f t="shared" si="6"/>
        <v>21.139999999999819</v>
      </c>
      <c r="L17" s="31">
        <f t="shared" ref="L17:O17" si="7">IF(L16=0,0,((L14/L13))*L16)</f>
        <v>132.41603571428601</v>
      </c>
      <c r="M17" s="31">
        <f t="shared" si="7"/>
        <v>195.98109999999954</v>
      </c>
      <c r="N17" s="31">
        <f t="shared" si="7"/>
        <v>321.53916252927456</v>
      </c>
      <c r="O17" s="31">
        <f t="shared" si="7"/>
        <v>370.69602485206997</v>
      </c>
      <c r="P17" s="40">
        <f t="shared" si="3"/>
        <v>2590.5883174409</v>
      </c>
      <c r="Q17" s="47"/>
      <c r="R17" s="39">
        <f>(P14-P13)/P14</f>
        <v>0.16813684651866867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28.893548387096775</v>
      </c>
      <c r="E20" s="4">
        <f t="shared" si="8"/>
        <v>29.715</v>
      </c>
      <c r="F20" s="4">
        <f t="shared" si="8"/>
        <v>21.822580645161292</v>
      </c>
      <c r="G20" s="4">
        <f t="shared" si="8"/>
        <v>19.708000000000002</v>
      </c>
      <c r="H20" s="4">
        <f t="shared" si="8"/>
        <v>16.417741935483871</v>
      </c>
      <c r="I20" s="4">
        <f t="shared" si="8"/>
        <v>13.955333333333332</v>
      </c>
      <c r="J20" s="4">
        <f t="shared" si="8"/>
        <v>12.840967741935483</v>
      </c>
      <c r="K20" s="4">
        <f t="shared" si="8"/>
        <v>9.2606451612903218</v>
      </c>
      <c r="L20" s="4">
        <f t="shared" si="8"/>
        <v>12.502333333333333</v>
      </c>
      <c r="M20" s="4">
        <f t="shared" si="8"/>
        <v>18.751612903225805</v>
      </c>
      <c r="N20" s="4">
        <f t="shared" si="8"/>
        <v>22.552</v>
      </c>
      <c r="O20" s="4">
        <f t="shared" si="8"/>
        <v>26.349032258064515</v>
      </c>
      <c r="P20" s="4">
        <f>P11/365</f>
        <v>19.336904109589039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895.7</v>
      </c>
      <c r="E21" s="4">
        <f t="shared" ref="E21:O21" si="10">SUM($D$11:E11)</f>
        <v>1727.72</v>
      </c>
      <c r="F21" s="4">
        <f t="shared" si="10"/>
        <v>2404.2200000000003</v>
      </c>
      <c r="G21" s="4">
        <f t="shared" si="10"/>
        <v>2995.46</v>
      </c>
      <c r="H21" s="4">
        <f t="shared" si="10"/>
        <v>3504.41</v>
      </c>
      <c r="I21" s="4">
        <f t="shared" si="10"/>
        <v>3923.0699999999997</v>
      </c>
      <c r="J21" s="4">
        <f t="shared" si="10"/>
        <v>4321.1399999999994</v>
      </c>
      <c r="K21" s="4">
        <f t="shared" si="10"/>
        <v>4608.2199999999993</v>
      </c>
      <c r="L21" s="4">
        <f t="shared" si="10"/>
        <v>4983.2899999999991</v>
      </c>
      <c r="M21" s="4">
        <f t="shared" si="10"/>
        <v>5564.5899999999992</v>
      </c>
      <c r="N21" s="4">
        <f t="shared" si="10"/>
        <v>6241.15</v>
      </c>
      <c r="O21" s="4">
        <f t="shared" si="10"/>
        <v>7057.9699999999993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404.69999999999982</v>
      </c>
      <c r="E22" s="4">
        <f t="shared" ref="E22:O22" si="11">SUM($D$12:E12)</f>
        <v>783.56999999999971</v>
      </c>
      <c r="F22" s="4">
        <f t="shared" si="11"/>
        <v>1055.8599999999997</v>
      </c>
      <c r="G22" s="4">
        <f t="shared" si="11"/>
        <v>1216.92</v>
      </c>
      <c r="H22" s="4">
        <f t="shared" si="11"/>
        <v>1305.4799999999996</v>
      </c>
      <c r="I22" s="4">
        <f t="shared" si="11"/>
        <v>1334.9899999999998</v>
      </c>
      <c r="J22" s="4">
        <f t="shared" si="11"/>
        <v>1340.1500000000003</v>
      </c>
      <c r="K22" s="4">
        <f t="shared" si="11"/>
        <v>1361.2900000000002</v>
      </c>
      <c r="L22" s="4">
        <f t="shared" si="11"/>
        <v>1427.3800000000003</v>
      </c>
      <c r="M22" s="4">
        <f t="shared" si="11"/>
        <v>1592.07</v>
      </c>
      <c r="N22" s="4">
        <f t="shared" si="11"/>
        <v>1864.5500000000004</v>
      </c>
      <c r="O22" s="4">
        <f t="shared" si="11"/>
        <v>2162.2199999999993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404.69999999999982</v>
      </c>
      <c r="E23" s="4">
        <f t="shared" ref="E23:O23" si="12">SUM($D$16:E16)</f>
        <v>783.56999999999971</v>
      </c>
      <c r="F23" s="4">
        <f t="shared" si="12"/>
        <v>1055.8599999999997</v>
      </c>
      <c r="G23" s="4">
        <f t="shared" si="12"/>
        <v>1216.92</v>
      </c>
      <c r="H23" s="4">
        <f t="shared" si="12"/>
        <v>1305.4799999999996</v>
      </c>
      <c r="I23" s="4">
        <f t="shared" si="12"/>
        <v>1334.9899999999998</v>
      </c>
      <c r="J23" s="4">
        <f t="shared" si="12"/>
        <v>1340.1500000000003</v>
      </c>
      <c r="K23" s="4">
        <f t="shared" si="12"/>
        <v>1361.2900000000002</v>
      </c>
      <c r="L23" s="4">
        <f t="shared" si="12"/>
        <v>1427.3800000000003</v>
      </c>
      <c r="M23" s="4">
        <f t="shared" si="12"/>
        <v>1592.07</v>
      </c>
      <c r="N23" s="4">
        <f t="shared" si="12"/>
        <v>1864.5500000000004</v>
      </c>
      <c r="O23" s="4">
        <f t="shared" si="12"/>
        <v>2162.2199999999993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10.322580645161297</v>
      </c>
      <c r="E24" s="4">
        <f t="shared" si="13"/>
        <v>10.737500000000002</v>
      </c>
      <c r="F24" s="4">
        <f t="shared" si="13"/>
        <v>8.2003225806451621</v>
      </c>
      <c r="G24" s="4">
        <f t="shared" si="13"/>
        <v>9.1059999999999874</v>
      </c>
      <c r="H24" s="4">
        <f t="shared" si="13"/>
        <v>7.7545161290322744</v>
      </c>
      <c r="I24" s="4">
        <f t="shared" si="13"/>
        <v>7.3049999999999917</v>
      </c>
      <c r="J24" s="4">
        <f t="shared" si="13"/>
        <v>7.5454838709677263</v>
      </c>
      <c r="K24" s="4">
        <f t="shared" si="13"/>
        <v>4.7722580645161345</v>
      </c>
      <c r="L24" s="4">
        <f t="shared" si="13"/>
        <v>6.165999999999995</v>
      </c>
      <c r="M24" s="4">
        <f t="shared" si="13"/>
        <v>8.5035483870967852</v>
      </c>
      <c r="N24" s="4">
        <f t="shared" si="13"/>
        <v>8.2693333333333161</v>
      </c>
      <c r="O24" s="4">
        <f t="shared" si="13"/>
        <v>10.940322580645185</v>
      </c>
      <c r="P24" s="4">
        <f>(P11-P16-P15)</f>
        <v>3025.25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D21+'2024'!$P$11-'2024'!D21</f>
        <v>7038.71</v>
      </c>
      <c r="E25" s="10">
        <f>E21+'2024'!$P$11-'2024'!E21</f>
        <v>6919.71</v>
      </c>
      <c r="F25" s="10">
        <f>F21+'2024'!$P$11-'2024'!F21</f>
        <v>6798.89</v>
      </c>
      <c r="G25" s="10">
        <f>G21+'2024'!$P$11-'2024'!G21</f>
        <v>6760.57</v>
      </c>
      <c r="H25" s="10">
        <f>H21+'2024'!$P$11-'2024'!H21</f>
        <v>6841.3999999999987</v>
      </c>
      <c r="I25" s="10">
        <f>I21+'2024'!$P$11-'2024'!I21</f>
        <v>7020.3099999999986</v>
      </c>
      <c r="J25" s="10">
        <f>J21+'2024'!$P$11-'2024'!J21</f>
        <v>7118.4399999999987</v>
      </c>
      <c r="K25" s="10">
        <f>K21+'2024'!$P$11-'2024'!K21</f>
        <v>7064.92</v>
      </c>
      <c r="L25" s="10">
        <f>L21+'2024'!$P$11-'2024'!L21</f>
        <v>7064.82</v>
      </c>
      <c r="M25" s="10">
        <f>M21+'2024'!$P$11-'2024'!M21</f>
        <v>7101.4099999999989</v>
      </c>
      <c r="N25" s="10">
        <f>N21+'2024'!$P$11-'2024'!N21</f>
        <v>7098.47</v>
      </c>
      <c r="O25" s="10">
        <f>O21+'2024'!$P$11-'2024'!O21</f>
        <v>7057.97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D22+SUM('2024'!E12:$O12)</f>
        <v>2408.8817647058831</v>
      </c>
      <c r="E26" s="10">
        <f>E22+SUM('2024'!F12:$O12)</f>
        <v>2266.0917647058832</v>
      </c>
      <c r="F26" s="10">
        <f>F22+SUM('2024'!G12:$O12)</f>
        <v>2192.3617647058827</v>
      </c>
      <c r="G26" s="10">
        <f>G22+SUM('2024'!H12:$O12)</f>
        <v>2113.7217647058833</v>
      </c>
      <c r="H26" s="10">
        <f>H22+SUM('2024'!I12:$O12)</f>
        <v>2162.3417647058823</v>
      </c>
      <c r="I26" s="10">
        <f>I22+SUM('2024'!J12:$O12)</f>
        <v>2185.0717647058827</v>
      </c>
      <c r="J26" s="10">
        <f>J22+SUM('2024'!K12:$O12)</f>
        <v>2190.2317647058831</v>
      </c>
      <c r="K26" s="10">
        <f>K22+SUM('2024'!L12:$O12)</f>
        <v>2205.9517647058829</v>
      </c>
      <c r="L26" s="10">
        <f>L22+SUM('2024'!M12:$O12)</f>
        <v>2230.7617647058828</v>
      </c>
      <c r="M26" s="10">
        <f>M22+SUM('2024'!N12:$O12)</f>
        <v>2250.0917647058823</v>
      </c>
      <c r="N26" s="10">
        <f>N22+SUM('2024'!O12:$O12)</f>
        <v>2256.061764705883</v>
      </c>
      <c r="O26" s="10">
        <f>O22</f>
        <v>2162.2199999999993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0.4518253879647201</v>
      </c>
      <c r="E28" s="51">
        <f t="shared" si="14"/>
        <v>0.45536164996033734</v>
      </c>
      <c r="F28" s="51">
        <f t="shared" si="14"/>
        <v>0.40249815225424979</v>
      </c>
      <c r="G28" s="51">
        <f t="shared" si="14"/>
        <v>0.27241052702794194</v>
      </c>
      <c r="H28" s="51">
        <f t="shared" si="14"/>
        <v>0.17400530503978681</v>
      </c>
      <c r="I28" s="51">
        <f t="shared" si="14"/>
        <v>7.048679119094306E-2</v>
      </c>
      <c r="J28" s="51">
        <f t="shared" si="14"/>
        <v>1.2962544276133615E-2</v>
      </c>
      <c r="K28" s="51">
        <f t="shared" si="14"/>
        <v>7.3638010310714153E-2</v>
      </c>
      <c r="L28" s="51">
        <f t="shared" si="14"/>
        <v>0.17620710800650585</v>
      </c>
      <c r="M28" s="51">
        <f t="shared" si="14"/>
        <v>0.28331326337519286</v>
      </c>
      <c r="N28" s="51">
        <f t="shared" si="14"/>
        <v>0.40274328958259503</v>
      </c>
      <c r="O28" s="51">
        <f t="shared" si="14"/>
        <v>0.36442545481256483</v>
      </c>
      <c r="P28" s="51">
        <f t="shared" si="14"/>
        <v>0.30635154300740858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54</v>
      </c>
      <c r="D29" s="4">
        <f t="shared" ref="D29:H29" si="15">D16/D13</f>
        <v>0.68343377483443679</v>
      </c>
      <c r="E29" s="4">
        <f t="shared" si="15"/>
        <v>0.666288620689655</v>
      </c>
      <c r="F29" s="4">
        <f t="shared" si="15"/>
        <v>0.57861624999999994</v>
      </c>
      <c r="G29" s="4">
        <f t="shared" si="15"/>
        <v>0.50238899082568933</v>
      </c>
      <c r="H29" s="4">
        <f t="shared" si="15"/>
        <v>0.53768571428571121</v>
      </c>
      <c r="I29" s="52"/>
      <c r="J29" s="52"/>
      <c r="K29" s="52"/>
      <c r="L29" s="4">
        <f t="shared" ref="L29:P29" si="16">L16/L13</f>
        <v>0.80252142857143038</v>
      </c>
      <c r="M29" s="4">
        <f t="shared" si="16"/>
        <v>0.51846851851851727</v>
      </c>
      <c r="N29" s="4">
        <f t="shared" si="16"/>
        <v>0.65088899297423997</v>
      </c>
      <c r="O29" s="4">
        <f t="shared" si="16"/>
        <v>0.59886272189348944</v>
      </c>
      <c r="P29" s="4">
        <f t="shared" si="16"/>
        <v>0.62557151319772852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13.054838709677414</v>
      </c>
      <c r="E30" s="4">
        <f t="shared" si="17"/>
        <v>13.531071428571424</v>
      </c>
      <c r="F30" s="4">
        <f t="shared" si="17"/>
        <v>8.7835483870967739</v>
      </c>
      <c r="G30" s="4">
        <f t="shared" si="17"/>
        <v>5.3686666666666802</v>
      </c>
      <c r="H30" s="4">
        <f t="shared" si="17"/>
        <v>2.8567741935483708</v>
      </c>
      <c r="I30" s="4">
        <f t="shared" si="17"/>
        <v>0.98366666666667391</v>
      </c>
      <c r="J30" s="4">
        <f t="shared" si="17"/>
        <v>0.1664516129032422</v>
      </c>
      <c r="K30" s="4">
        <f t="shared" si="17"/>
        <v>0.68193548387096192</v>
      </c>
      <c r="L30" s="4">
        <f t="shared" si="17"/>
        <v>2.2030000000000047</v>
      </c>
      <c r="M30" s="4">
        <f t="shared" si="17"/>
        <v>5.3125806451612778</v>
      </c>
      <c r="N30" s="4">
        <f t="shared" si="17"/>
        <v>9.0826666666666824</v>
      </c>
      <c r="O30" s="4">
        <f t="shared" si="17"/>
        <v>9.6022580645161018</v>
      </c>
      <c r="P30" s="4">
        <f t="shared" si="17"/>
        <v>5.9238904109589026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15.278051805169829</v>
      </c>
      <c r="E31" s="4">
        <f t="shared" si="18"/>
        <v>15.253250209359603</v>
      </c>
      <c r="F31" s="4">
        <f t="shared" si="18"/>
        <v>10.975043709677418</v>
      </c>
      <c r="G31" s="4">
        <f t="shared" si="18"/>
        <v>6.3468475840978762</v>
      </c>
      <c r="H31" s="4">
        <f t="shared" si="18"/>
        <v>2.6710838709677267</v>
      </c>
      <c r="I31" s="4">
        <f t="shared" si="18"/>
        <v>0.98366666666667391</v>
      </c>
      <c r="J31" s="4">
        <f t="shared" si="18"/>
        <v>0.1664516129032422</v>
      </c>
      <c r="K31" s="4">
        <f t="shared" si="18"/>
        <v>0.68193548387096192</v>
      </c>
      <c r="L31" s="4">
        <f t="shared" si="18"/>
        <v>4.4138678571428667</v>
      </c>
      <c r="M31" s="4">
        <f t="shared" si="18"/>
        <v>6.3219709677419207</v>
      </c>
      <c r="N31" s="4">
        <f t="shared" si="18"/>
        <v>10.717972084309151</v>
      </c>
      <c r="O31" s="4">
        <f t="shared" si="18"/>
        <v>11.957936285550645</v>
      </c>
      <c r="P31" s="4">
        <f t="shared" si="18"/>
        <v>7.0975022395641094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57</v>
      </c>
      <c r="D32" s="4">
        <f t="shared" ref="D32:P32" si="19">D16/$F$4</f>
        <v>1.6728670634920626</v>
      </c>
      <c r="E32" s="4">
        <f t="shared" si="19"/>
        <v>1.5660962301587296</v>
      </c>
      <c r="F32" s="4">
        <f t="shared" si="19"/>
        <v>1.1255373677248675</v>
      </c>
      <c r="G32" s="4">
        <f t="shared" si="19"/>
        <v>0.66575727513227678</v>
      </c>
      <c r="H32" s="4">
        <f t="shared" si="19"/>
        <v>0.36607142857142644</v>
      </c>
      <c r="I32" s="4">
        <f t="shared" si="19"/>
        <v>0.12198247354497443</v>
      </c>
      <c r="J32" s="4">
        <f t="shared" si="19"/>
        <v>2.1329365079367179E-2</v>
      </c>
      <c r="K32" s="4">
        <f t="shared" si="19"/>
        <v>8.7384259259258509E-2</v>
      </c>
      <c r="L32" s="4">
        <f t="shared" si="19"/>
        <v>0.27318948412698468</v>
      </c>
      <c r="M32" s="4">
        <f t="shared" si="19"/>
        <v>0.6807622354497338</v>
      </c>
      <c r="N32" s="4">
        <f t="shared" si="19"/>
        <v>1.1263227513227532</v>
      </c>
      <c r="O32" s="4">
        <f t="shared" si="19"/>
        <v>1.2304480820105785</v>
      </c>
      <c r="P32" s="4">
        <f t="shared" si="19"/>
        <v>8.9377480158730123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58</v>
      </c>
      <c r="D33" s="4">
        <f t="shared" ref="D33:P33" si="20">D16/$F$3</f>
        <v>4.2156249999999984</v>
      </c>
      <c r="E33" s="4">
        <f t="shared" si="20"/>
        <v>3.9465624999999989</v>
      </c>
      <c r="F33" s="4">
        <f t="shared" si="20"/>
        <v>2.8363541666666663</v>
      </c>
      <c r="G33" s="4">
        <f t="shared" si="20"/>
        <v>1.6777083333333376</v>
      </c>
      <c r="H33" s="4">
        <f t="shared" si="20"/>
        <v>0.92249999999999466</v>
      </c>
      <c r="I33" s="4">
        <f t="shared" si="20"/>
        <v>0.30739583333333559</v>
      </c>
      <c r="J33" s="4">
        <f t="shared" si="20"/>
        <v>5.3750000000005294E-2</v>
      </c>
      <c r="K33" s="4">
        <f t="shared" si="20"/>
        <v>0.22020833333333145</v>
      </c>
      <c r="L33" s="4">
        <f t="shared" si="20"/>
        <v>0.68843750000000148</v>
      </c>
      <c r="M33" s="4">
        <f t="shared" si="20"/>
        <v>1.7155208333333292</v>
      </c>
      <c r="N33" s="4">
        <f t="shared" si="20"/>
        <v>2.8383333333333383</v>
      </c>
      <c r="O33" s="4">
        <f t="shared" si="20"/>
        <v>3.1007291666666581</v>
      </c>
      <c r="P33" s="4">
        <f t="shared" si="20"/>
        <v>22.523124999999993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60</v>
      </c>
      <c r="D34" s="4">
        <f t="shared" ref="D34:P34" si="21">D17/$F$4</f>
        <v>1.9577530008278137</v>
      </c>
      <c r="E34" s="4">
        <f t="shared" si="21"/>
        <v>1.7654224779351391</v>
      </c>
      <c r="F34" s="4">
        <f t="shared" si="21"/>
        <v>1.4063589409722219</v>
      </c>
      <c r="G34" s="4">
        <f t="shared" si="21"/>
        <v>0.78705947223435957</v>
      </c>
      <c r="H34" s="4">
        <f t="shared" si="21"/>
        <v>0.34227678571428377</v>
      </c>
      <c r="I34" s="4">
        <f t="shared" si="21"/>
        <v>0.12198247354497443</v>
      </c>
      <c r="J34" s="4">
        <f t="shared" si="21"/>
        <v>2.1329365079367179E-2</v>
      </c>
      <c r="K34" s="4">
        <f t="shared" si="21"/>
        <v>8.7384259259258509E-2</v>
      </c>
      <c r="L34" s="4">
        <f t="shared" si="21"/>
        <v>0.54735464498299435</v>
      </c>
      <c r="M34" s="4">
        <f t="shared" si="21"/>
        <v>0.81010706018518319</v>
      </c>
      <c r="N34" s="4">
        <f t="shared" si="21"/>
        <v>1.3291136017248453</v>
      </c>
      <c r="O34" s="4">
        <f t="shared" si="21"/>
        <v>1.5323083037866647</v>
      </c>
      <c r="P34" s="4">
        <f t="shared" si="21"/>
        <v>10.708450386247106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61</v>
      </c>
      <c r="D35" s="4">
        <f t="shared" ref="D35:P35" si="22">D17/$F$3</f>
        <v>4.9335375620860908</v>
      </c>
      <c r="E35" s="4">
        <f t="shared" si="22"/>
        <v>4.4488646443965507</v>
      </c>
      <c r="F35" s="4">
        <f t="shared" si="22"/>
        <v>3.5440245312499994</v>
      </c>
      <c r="G35" s="4">
        <f t="shared" si="22"/>
        <v>1.9833898700305863</v>
      </c>
      <c r="H35" s="4">
        <f t="shared" si="22"/>
        <v>0.86253749999999518</v>
      </c>
      <c r="I35" s="4">
        <f t="shared" si="22"/>
        <v>0.30739583333333559</v>
      </c>
      <c r="J35" s="4">
        <f t="shared" si="22"/>
        <v>5.3750000000005294E-2</v>
      </c>
      <c r="K35" s="4">
        <f t="shared" si="22"/>
        <v>0.22020833333333145</v>
      </c>
      <c r="L35" s="4">
        <f t="shared" si="22"/>
        <v>1.3793337053571459</v>
      </c>
      <c r="M35" s="4">
        <f t="shared" si="22"/>
        <v>2.0414697916666618</v>
      </c>
      <c r="N35" s="4">
        <f t="shared" si="22"/>
        <v>3.3493662763466099</v>
      </c>
      <c r="O35" s="4">
        <f t="shared" si="22"/>
        <v>3.8614169255423954</v>
      </c>
      <c r="P35" s="4">
        <f t="shared" si="22"/>
        <v>26.985294973342707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62</v>
      </c>
      <c r="D36" s="4">
        <f t="shared" ref="D36:H36" si="23">1000*D32/D13</f>
        <v>2.8250404052349403</v>
      </c>
      <c r="E36" s="4">
        <f t="shared" si="23"/>
        <v>2.7541692323481106</v>
      </c>
      <c r="F36" s="4">
        <f t="shared" si="23"/>
        <v>2.3917669064153433</v>
      </c>
      <c r="G36" s="4">
        <f t="shared" si="23"/>
        <v>2.0766740692199459</v>
      </c>
      <c r="H36" s="4">
        <f t="shared" si="23"/>
        <v>2.222576530612232</v>
      </c>
      <c r="I36" s="52"/>
      <c r="J36" s="52"/>
      <c r="K36" s="52"/>
      <c r="L36" s="4">
        <f t="shared" ref="L36:P36" si="24">1000*L32/L13</f>
        <v>3.3173008786848142</v>
      </c>
      <c r="M36" s="4">
        <f t="shared" si="24"/>
        <v>2.143140370860273</v>
      </c>
      <c r="N36" s="4">
        <f t="shared" si="24"/>
        <v>2.6905133638154761</v>
      </c>
      <c r="O36" s="4">
        <f t="shared" si="24"/>
        <v>2.4754576797845957</v>
      </c>
      <c r="P36" s="4">
        <f t="shared" si="24"/>
        <v>2.5858610829932558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72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6.44</v>
      </c>
      <c r="E47" s="4">
        <v>6.19</v>
      </c>
      <c r="F47" s="4">
        <v>5.45</v>
      </c>
      <c r="G47" s="4">
        <v>4.58</v>
      </c>
      <c r="H47" s="57">
        <v>2.19</v>
      </c>
      <c r="I47" s="4">
        <v>1.74</v>
      </c>
      <c r="J47" s="4">
        <v>2.89</v>
      </c>
      <c r="K47" s="4">
        <v>5.66</v>
      </c>
      <c r="L47" s="4">
        <v>4.29</v>
      </c>
      <c r="M47" s="4">
        <v>5.25</v>
      </c>
      <c r="N47" s="4">
        <v>6.26</v>
      </c>
      <c r="O47" s="4">
        <v>4.63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(SUMPRODUCT($D$47:D47,$D$11:D11)+SUMPRODUCT('2024'!E$47:$O47,'2024'!E$11:$O11))/D25</f>
        <v>5.3244522078619525</v>
      </c>
      <c r="E49" s="18">
        <f>(SUMPRODUCT($D$47:E47,$D$11:E11)+SUMPRODUCT('2024'!F$47:$O47,'2024'!F$11:$O11))/E25</f>
        <v>5.1666333126677273</v>
      </c>
      <c r="F49" s="18">
        <f>(SUMPRODUCT($D$47:F47,$D$11:F11)+SUMPRODUCT('2024'!G$47:$O47,'2024'!G$11:$O11))/(F21+SUM('2024'!G$11:$O11))</f>
        <v>4.9422989340907115</v>
      </c>
      <c r="G49" s="18">
        <f>(SUMPRODUCT($D$47:G47,$D$11:G11)+SUMPRODUCT('2024'!H$47:$O47,'2024'!H$11:$O11))/(G21+SUM('2024'!H$11:$O11))</f>
        <v>4.8288808192208643</v>
      </c>
      <c r="H49" s="18">
        <f>(SUMPRODUCT($D$47:H47,$D$11:H11)+SUMPRODUCT('2024'!I$47:$O47,'2024'!I$11:$O11))/(H21+SUM('2024'!I$11:$O11))</f>
        <v>4.7201063671178414</v>
      </c>
      <c r="I49" s="18">
        <f>(SUMPRODUCT($D$47:I47,$D$11:I11)+SUMPRODUCT('2024'!J$47:$O47,'2024'!J$11:$O11))/(I21+SUM('2024'!J$11:$O11))</f>
        <v>4.571759523439848</v>
      </c>
      <c r="J49" s="18">
        <f>(SUMPRODUCT($D$47:J47,$D$11:J11)+SUMPRODUCT('2024'!K$47:$O47,'2024'!K$11:$O11))/(J21+SUM('2024'!K$11:$O11))</f>
        <v>4.5894474913042744</v>
      </c>
      <c r="K49" s="18">
        <f>(SUMPRODUCT($D$47:K47,$D$11:K11)+SUMPRODUCT('2024'!L$47:$O47,'2024'!L$11:$O11))/(K21+SUM('2024'!L$11:$O11))</f>
        <v>4.7828554888094983</v>
      </c>
      <c r="L49" s="18">
        <f>(SUMPRODUCT($D$47:L47,$D$11:L11)+SUMPRODUCT('2024'!M$47:$O47,'2024'!M$11:$O11))/(L21+SUM('2024'!M$11:$O11))</f>
        <v>4.72657225520254</v>
      </c>
      <c r="M49" s="18">
        <f>(SUMPRODUCT($D$47:M47,$D$11:M11)+SUMPRODUCT('2024'!N$47:$O47,'2024'!N$11:$O11))/(M21+SUM('2024'!N$11:$O11))</f>
        <v>4.8090418804152986</v>
      </c>
      <c r="N49" s="18">
        <f>(SUMPRODUCT($D$47:N47,$D$11:N11)+SUMPRODUCT('2024'!O$47:$O47,'2024'!O$11:$O11))/(N21+SUM('2024'!O$11:$O11))</f>
        <v>4.9213962586303808</v>
      </c>
      <c r="O49" s="18">
        <f>(SUMPRODUCT($D$47:O47,$D$11:O11))/(O21)</f>
        <v>4.90363341017318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400-000000000000}"/>
    <hyperlink ref="R2" r:id="rId2" xr:uid="{00000000-0004-0000-0400-000001000000}"/>
    <hyperlink ref="R3" r:id="rId3" location="!/" xr:uid="{00000000-0004-0000-0400-000002000000}"/>
  </hyperlinks>
  <pageMargins left="0.39374999999999999" right="0.39374999999999999" top="0.59027777777777801" bottom="0.59027777777777801" header="0" footer="0"/>
  <pageSetup paperSize="9" orientation="portrait" r:id="rId4"/>
  <headerFooter>
    <oddHeader>&amp;R&amp;D</oddHeader>
    <oddFooter>&amp;LEnergiaekspertti Janne Tiainen</oddFooter>
  </headerFooter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1000"/>
  <sheetViews>
    <sheetView workbookViewId="0">
      <selection activeCell="E11" sqref="E11:K11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86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9.5683695652173917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87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2024</v>
      </c>
      <c r="B8" s="25" t="s">
        <v>27</v>
      </c>
      <c r="C8" s="26" t="s">
        <v>88</v>
      </c>
      <c r="D8" s="27">
        <v>-9.6</v>
      </c>
      <c r="E8" s="27">
        <v>-4.5</v>
      </c>
      <c r="F8" s="27">
        <v>0</v>
      </c>
      <c r="G8" s="27">
        <v>3.1</v>
      </c>
      <c r="H8" s="27">
        <v>13.4</v>
      </c>
      <c r="I8" s="27">
        <v>16.600000000000001</v>
      </c>
      <c r="J8" s="27">
        <v>18.2</v>
      </c>
      <c r="K8" s="27">
        <v>16.600000000000001</v>
      </c>
      <c r="L8" s="27">
        <v>13.3</v>
      </c>
      <c r="M8" s="27">
        <v>6.7</v>
      </c>
      <c r="N8" s="27">
        <v>2</v>
      </c>
      <c r="O8" s="28">
        <v>-1</v>
      </c>
      <c r="P8" s="27">
        <f>AVERAGE(D8:O8)</f>
        <v>6.2333333333333343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2024</v>
      </c>
      <c r="B9" s="25" t="s">
        <v>29</v>
      </c>
      <c r="C9" s="30" t="s">
        <v>30</v>
      </c>
      <c r="D9" s="31">
        <v>742.72</v>
      </c>
      <c r="E9" s="31">
        <v>559</v>
      </c>
      <c r="F9" s="31">
        <v>455.68</v>
      </c>
      <c r="G9" s="31">
        <v>427.15</v>
      </c>
      <c r="H9" s="31">
        <v>244.3</v>
      </c>
      <c r="I9" s="31">
        <v>131.53</v>
      </c>
      <c r="J9" s="31">
        <v>187.24000000000007</v>
      </c>
      <c r="K9" s="31">
        <v>195.71999999999997</v>
      </c>
      <c r="L9" s="31">
        <v>203.48000000000002</v>
      </c>
      <c r="M9" s="31">
        <v>316.39</v>
      </c>
      <c r="N9" s="31">
        <v>388.57999999999993</v>
      </c>
      <c r="O9" s="32">
        <v>504.27</v>
      </c>
      <c r="P9" s="31">
        <f t="shared" ref="P9:P13" si="0">SUM(D9:O9)</f>
        <v>4356.0600000000004</v>
      </c>
      <c r="Q9" s="2"/>
      <c r="R9" s="33">
        <f t="shared" ref="R9:R12" si="1">P9/$P$11</f>
        <v>0.58565251762580073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2024</v>
      </c>
      <c r="B10" s="25" t="s">
        <v>31</v>
      </c>
      <c r="C10" s="30" t="s">
        <v>30</v>
      </c>
      <c r="D10" s="31">
        <v>552.23</v>
      </c>
      <c r="E10" s="31">
        <v>392.02</v>
      </c>
      <c r="F10" s="31">
        <v>341.64</v>
      </c>
      <c r="G10" s="31">
        <v>202.41</v>
      </c>
      <c r="H10" s="31">
        <v>183.81999999999996</v>
      </c>
      <c r="I10" s="31">
        <v>108.22</v>
      </c>
      <c r="J10" s="31">
        <v>112.7</v>
      </c>
      <c r="K10" s="31">
        <v>144.88000000000002</v>
      </c>
      <c r="L10" s="31">
        <v>171.69000000000003</v>
      </c>
      <c r="M10" s="31">
        <v>228.32000000000005</v>
      </c>
      <c r="N10" s="32">
        <v>290.92000000000007</v>
      </c>
      <c r="O10" s="37">
        <v>353.05</v>
      </c>
      <c r="P10" s="38">
        <f t="shared" si="0"/>
        <v>3081.9000000000005</v>
      </c>
      <c r="Q10" s="39"/>
      <c r="R10" s="33">
        <f t="shared" si="1"/>
        <v>0.41434748237419944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2024</v>
      </c>
      <c r="B11" s="25" t="s">
        <v>32</v>
      </c>
      <c r="C11" s="30" t="s">
        <v>30</v>
      </c>
      <c r="D11" s="31">
        <f t="shared" ref="D11:O11" si="2">SUM(D9:D10)</f>
        <v>1294.95</v>
      </c>
      <c r="E11" s="31">
        <f t="shared" si="2"/>
        <v>951.02</v>
      </c>
      <c r="F11" s="31">
        <f t="shared" si="2"/>
        <v>797.31999999999994</v>
      </c>
      <c r="G11" s="31">
        <f t="shared" si="2"/>
        <v>629.55999999999995</v>
      </c>
      <c r="H11" s="31">
        <f t="shared" si="2"/>
        <v>428.12</v>
      </c>
      <c r="I11" s="31">
        <f t="shared" si="2"/>
        <v>239.75</v>
      </c>
      <c r="J11" s="31">
        <f t="shared" si="2"/>
        <v>299.94000000000005</v>
      </c>
      <c r="K11" s="31">
        <f t="shared" si="2"/>
        <v>340.6</v>
      </c>
      <c r="L11" s="31">
        <f t="shared" si="2"/>
        <v>375.17000000000007</v>
      </c>
      <c r="M11" s="31">
        <f t="shared" si="2"/>
        <v>544.71</v>
      </c>
      <c r="N11" s="31">
        <f t="shared" si="2"/>
        <v>679.5</v>
      </c>
      <c r="O11" s="31">
        <f t="shared" si="2"/>
        <v>857.31999999999994</v>
      </c>
      <c r="P11" s="40">
        <f t="shared" si="0"/>
        <v>7437.96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2024</v>
      </c>
      <c r="B12" s="25" t="s">
        <v>33</v>
      </c>
      <c r="C12" s="30" t="s">
        <v>30</v>
      </c>
      <c r="D12" s="31">
        <f>(1728.54-955.116)</f>
        <v>773.42399999999998</v>
      </c>
      <c r="E12" s="31">
        <f>(2250.2-1728.54)</f>
        <v>521.65999999999985</v>
      </c>
      <c r="F12" s="31">
        <f>(2596.22-2250.2)</f>
        <v>346.02</v>
      </c>
      <c r="G12" s="31">
        <f>(2835.92-2596.22)</f>
        <v>239.70000000000027</v>
      </c>
      <c r="H12" s="31">
        <f>(2875.86-2835.92)</f>
        <v>39.940000000000055</v>
      </c>
      <c r="I12" s="31">
        <f>(2903.11-2896.33)</f>
        <v>6.7800000000002001</v>
      </c>
      <c r="J12" s="31">
        <v>0</v>
      </c>
      <c r="K12" s="31">
        <f>(2920.64-2915.22)</f>
        <v>5.4200000000000728</v>
      </c>
      <c r="L12" s="31">
        <f>(2961.92-2920.64)</f>
        <v>41.2800000000002</v>
      </c>
      <c r="M12" s="31">
        <f>(3107.28-2961.92)</f>
        <v>145.36000000000013</v>
      </c>
      <c r="N12" s="31">
        <f>(3373.79-3107.28)</f>
        <v>266.50999999999976</v>
      </c>
      <c r="O12" s="31">
        <f>(3695.84-3373.79)/25.5*31</f>
        <v>391.51176470588257</v>
      </c>
      <c r="P12" s="31">
        <f t="shared" si="0"/>
        <v>2777.6057647058833</v>
      </c>
      <c r="Q12" s="39"/>
      <c r="R12" s="33">
        <f t="shared" si="1"/>
        <v>0.37343650203898426</v>
      </c>
      <c r="S12" s="34"/>
      <c r="T12" s="29"/>
      <c r="U12" s="11"/>
      <c r="V12" s="2"/>
      <c r="W12" s="39" t="s">
        <v>34</v>
      </c>
      <c r="X12" s="11">
        <f>P12+'2023'!X12</f>
        <v>36080.067478991601</v>
      </c>
      <c r="Y12" s="2" t="s">
        <v>30</v>
      </c>
      <c r="Z12" s="11">
        <f>X12*1000/400</f>
        <v>90200.168697478992</v>
      </c>
      <c r="AA12" s="2" t="s">
        <v>35</v>
      </c>
    </row>
    <row r="13" spans="1:27" ht="12.75" customHeight="1" x14ac:dyDescent="0.25">
      <c r="A13" s="24">
        <v>2024</v>
      </c>
      <c r="B13" s="41" t="s">
        <v>36</v>
      </c>
      <c r="C13" s="26" t="s">
        <v>89</v>
      </c>
      <c r="D13" s="31">
        <f>830/1.02</f>
        <v>813.72549019607845</v>
      </c>
      <c r="E13" s="31">
        <f>638/1.02</f>
        <v>625.49019607843138</v>
      </c>
      <c r="F13" s="31">
        <f>529/1.02</f>
        <v>518.62745098039215</v>
      </c>
      <c r="G13" s="31">
        <f>415/1.02</f>
        <v>406.86274509803923</v>
      </c>
      <c r="H13" s="31">
        <f>93/1.02</f>
        <v>91.17647058823529</v>
      </c>
      <c r="I13" s="31">
        <v>0</v>
      </c>
      <c r="J13" s="31">
        <v>0</v>
      </c>
      <c r="K13" s="31">
        <v>0</v>
      </c>
      <c r="L13" s="31">
        <f>59/1.02</f>
        <v>57.843137254901961</v>
      </c>
      <c r="M13" s="31">
        <f>(314)/1.02</f>
        <v>307.84313725490193</v>
      </c>
      <c r="N13" s="31">
        <f>454/1.02</f>
        <v>445.09803921568624</v>
      </c>
      <c r="O13" s="42">
        <f>571/1.02</f>
        <v>559.8039215686274</v>
      </c>
      <c r="P13" s="31">
        <f t="shared" si="0"/>
        <v>3826.4705882352946</v>
      </c>
      <c r="Q13" s="36"/>
      <c r="R13" s="33">
        <f>(P14-P13)/P14</f>
        <v>7.9068450484886976E-2</v>
      </c>
      <c r="S13" s="2"/>
      <c r="T13" s="29"/>
      <c r="U13" s="29"/>
      <c r="V13" s="2"/>
      <c r="W13" s="36" t="s">
        <v>38</v>
      </c>
      <c r="X13" s="11">
        <f>X12*2.7-X12</f>
        <v>61336.11471428573</v>
      </c>
      <c r="Y13" s="2" t="s">
        <v>30</v>
      </c>
      <c r="Z13" s="2"/>
      <c r="AA13" s="2"/>
    </row>
    <row r="14" spans="1:27" ht="12.75" customHeight="1" x14ac:dyDescent="0.25">
      <c r="A14" s="24">
        <v>2024</v>
      </c>
      <c r="B14" s="41" t="s">
        <v>39</v>
      </c>
      <c r="C14" s="26" t="s">
        <v>90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2024</v>
      </c>
      <c r="B15" s="25" t="s">
        <v>41</v>
      </c>
      <c r="C15" s="30" t="s">
        <v>30</v>
      </c>
      <c r="D15" s="31">
        <v>154</v>
      </c>
      <c r="E15" s="31">
        <v>139</v>
      </c>
      <c r="F15" s="31">
        <v>176</v>
      </c>
      <c r="G15" s="31">
        <v>150.5</v>
      </c>
      <c r="H15" s="31">
        <v>141</v>
      </c>
      <c r="I15" s="31">
        <v>88.5</v>
      </c>
      <c r="J15" s="31">
        <v>110.5</v>
      </c>
      <c r="K15" s="31">
        <v>127.5</v>
      </c>
      <c r="L15" s="31">
        <v>127</v>
      </c>
      <c r="M15" s="31">
        <v>145</v>
      </c>
      <c r="N15" s="31">
        <v>140</v>
      </c>
      <c r="O15" s="42">
        <v>171</v>
      </c>
      <c r="P15" s="31">
        <f t="shared" ref="P15:P17" si="3">SUM(D15:O15)</f>
        <v>1670</v>
      </c>
      <c r="Q15" s="2"/>
      <c r="R15" s="33">
        <f>P15/$P$11</f>
        <v>0.2245239286040796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2024</v>
      </c>
      <c r="B16" s="25" t="s">
        <v>42</v>
      </c>
      <c r="C16" s="30" t="s">
        <v>30</v>
      </c>
      <c r="D16" s="31">
        <f>D12+60</f>
        <v>833.42399999999998</v>
      </c>
      <c r="E16" s="31">
        <f t="shared" ref="E16:O16" si="4">E12</f>
        <v>521.65999999999985</v>
      </c>
      <c r="F16" s="31">
        <f t="shared" si="4"/>
        <v>346.02</v>
      </c>
      <c r="G16" s="31">
        <f t="shared" si="4"/>
        <v>239.70000000000027</v>
      </c>
      <c r="H16" s="31">
        <f t="shared" si="4"/>
        <v>39.940000000000055</v>
      </c>
      <c r="I16" s="31">
        <f t="shared" si="4"/>
        <v>6.7800000000002001</v>
      </c>
      <c r="J16" s="31">
        <f t="shared" si="4"/>
        <v>0</v>
      </c>
      <c r="K16" s="31">
        <f t="shared" si="4"/>
        <v>5.4200000000000728</v>
      </c>
      <c r="L16" s="31">
        <f t="shared" si="4"/>
        <v>41.2800000000002</v>
      </c>
      <c r="M16" s="31">
        <f t="shared" si="4"/>
        <v>145.36000000000013</v>
      </c>
      <c r="N16" s="31">
        <f t="shared" si="4"/>
        <v>266.50999999999976</v>
      </c>
      <c r="O16" s="31">
        <f t="shared" si="4"/>
        <v>391.51176470588257</v>
      </c>
      <c r="P16" s="31">
        <f t="shared" si="3"/>
        <v>2837.6057647058833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2024</v>
      </c>
      <c r="B17" s="25" t="s">
        <v>43</v>
      </c>
      <c r="C17" s="30" t="s">
        <v>30</v>
      </c>
      <c r="D17" s="31">
        <f t="shared" ref="D17:G17" si="5">IF(D16&lt;0,0,((D14/D13))*D16)</f>
        <v>709.7760104096385</v>
      </c>
      <c r="E17" s="31">
        <f t="shared" si="5"/>
        <v>534.59520564263312</v>
      </c>
      <c r="F17" s="31">
        <f t="shared" si="5"/>
        <v>392.30426313799614</v>
      </c>
      <c r="G17" s="31">
        <f t="shared" si="5"/>
        <v>223.2848819277111</v>
      </c>
      <c r="H17" s="31">
        <f>IF(H16=0,0,((H14/H13))*H16)</f>
        <v>67.459948387096873</v>
      </c>
      <c r="I17" s="46">
        <f t="shared" ref="I17:K17" si="6">I16</f>
        <v>6.7800000000002001</v>
      </c>
      <c r="J17" s="46">
        <f t="shared" si="6"/>
        <v>0</v>
      </c>
      <c r="K17" s="46">
        <f t="shared" si="6"/>
        <v>5.4200000000000728</v>
      </c>
      <c r="L17" s="31">
        <f t="shared" ref="L17:O17" si="7">IF(L16=0,0,((L14/L13))*L16)</f>
        <v>117.75294915254294</v>
      </c>
      <c r="M17" s="31">
        <f t="shared" si="7"/>
        <v>178.4872662420384</v>
      </c>
      <c r="N17" s="31">
        <f t="shared" si="7"/>
        <v>295.79087841409665</v>
      </c>
      <c r="O17" s="31">
        <f t="shared" si="7"/>
        <v>432.91190542907208</v>
      </c>
      <c r="P17" s="40">
        <f t="shared" si="3"/>
        <v>2964.5633087428264</v>
      </c>
      <c r="Q17" s="47"/>
      <c r="R17" s="39">
        <f>(P14-P13)/P14</f>
        <v>7.9068450484886976E-2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41.772580645161291</v>
      </c>
      <c r="E20" s="4">
        <f t="shared" si="8"/>
        <v>32.793793103448273</v>
      </c>
      <c r="F20" s="4">
        <f t="shared" si="8"/>
        <v>25.72</v>
      </c>
      <c r="G20" s="4">
        <f t="shared" si="8"/>
        <v>20.985333333333333</v>
      </c>
      <c r="H20" s="4">
        <f t="shared" si="8"/>
        <v>13.810322580645161</v>
      </c>
      <c r="I20" s="4">
        <f t="shared" si="8"/>
        <v>7.9916666666666663</v>
      </c>
      <c r="J20" s="4">
        <f t="shared" si="8"/>
        <v>9.675483870967744</v>
      </c>
      <c r="K20" s="4">
        <f t="shared" si="8"/>
        <v>10.987096774193549</v>
      </c>
      <c r="L20" s="4">
        <f t="shared" si="8"/>
        <v>12.505666666666668</v>
      </c>
      <c r="M20" s="4">
        <f t="shared" si="8"/>
        <v>17.571290322580648</v>
      </c>
      <c r="N20" s="4">
        <f t="shared" si="8"/>
        <v>22.65</v>
      </c>
      <c r="O20" s="4">
        <f t="shared" si="8"/>
        <v>27.655483870967739</v>
      </c>
      <c r="P20" s="4">
        <f>P11/365</f>
        <v>20.377972602739725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1294.95</v>
      </c>
      <c r="E21" s="4">
        <f t="shared" ref="E21:O21" si="10">SUM($D$11:E11)</f>
        <v>2245.9700000000003</v>
      </c>
      <c r="F21" s="4">
        <f t="shared" si="10"/>
        <v>3043.29</v>
      </c>
      <c r="G21" s="4">
        <f t="shared" si="10"/>
        <v>3672.85</v>
      </c>
      <c r="H21" s="4">
        <f t="shared" si="10"/>
        <v>4100.97</v>
      </c>
      <c r="I21" s="4">
        <f t="shared" si="10"/>
        <v>4340.72</v>
      </c>
      <c r="J21" s="4">
        <f t="shared" si="10"/>
        <v>4640.66</v>
      </c>
      <c r="K21" s="4">
        <f t="shared" si="10"/>
        <v>4981.26</v>
      </c>
      <c r="L21" s="4">
        <f t="shared" si="10"/>
        <v>5356.43</v>
      </c>
      <c r="M21" s="4">
        <f t="shared" si="10"/>
        <v>5901.14</v>
      </c>
      <c r="N21" s="4">
        <f t="shared" si="10"/>
        <v>6580.64</v>
      </c>
      <c r="O21" s="4">
        <f t="shared" si="10"/>
        <v>7437.96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773.42399999999998</v>
      </c>
      <c r="E22" s="4">
        <f t="shared" ref="E22:O22" si="11">SUM($D$12:E12)</f>
        <v>1295.0839999999998</v>
      </c>
      <c r="F22" s="4">
        <f t="shared" si="11"/>
        <v>1641.1039999999998</v>
      </c>
      <c r="G22" s="4">
        <f t="shared" si="11"/>
        <v>1880.8040000000001</v>
      </c>
      <c r="H22" s="4">
        <f t="shared" si="11"/>
        <v>1920.7440000000001</v>
      </c>
      <c r="I22" s="4">
        <f t="shared" si="11"/>
        <v>1927.5240000000003</v>
      </c>
      <c r="J22" s="4">
        <f t="shared" si="11"/>
        <v>1927.5240000000003</v>
      </c>
      <c r="K22" s="4">
        <f t="shared" si="11"/>
        <v>1932.9440000000004</v>
      </c>
      <c r="L22" s="4">
        <f t="shared" si="11"/>
        <v>1974.2240000000006</v>
      </c>
      <c r="M22" s="4">
        <f t="shared" si="11"/>
        <v>2119.5840000000007</v>
      </c>
      <c r="N22" s="4">
        <f t="shared" si="11"/>
        <v>2386.0940000000005</v>
      </c>
      <c r="O22" s="4">
        <f t="shared" si="11"/>
        <v>2777.6057647058833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833.42399999999998</v>
      </c>
      <c r="E23" s="4">
        <f t="shared" ref="E23:O23" si="12">SUM($D$16:E16)</f>
        <v>1355.0839999999998</v>
      </c>
      <c r="F23" s="4">
        <f t="shared" si="12"/>
        <v>1701.1039999999998</v>
      </c>
      <c r="G23" s="4">
        <f t="shared" si="12"/>
        <v>1940.8040000000001</v>
      </c>
      <c r="H23" s="4">
        <f t="shared" si="12"/>
        <v>1980.7440000000001</v>
      </c>
      <c r="I23" s="4">
        <f t="shared" si="12"/>
        <v>1987.5240000000003</v>
      </c>
      <c r="J23" s="4">
        <f t="shared" si="12"/>
        <v>1987.5240000000003</v>
      </c>
      <c r="K23" s="4">
        <f t="shared" si="12"/>
        <v>1992.9440000000004</v>
      </c>
      <c r="L23" s="4">
        <f t="shared" si="12"/>
        <v>2034.2240000000006</v>
      </c>
      <c r="M23" s="4">
        <f t="shared" si="12"/>
        <v>2179.5840000000007</v>
      </c>
      <c r="N23" s="4">
        <f t="shared" si="12"/>
        <v>2446.0940000000005</v>
      </c>
      <c r="O23" s="4">
        <f t="shared" si="12"/>
        <v>2837.6057647058833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9.9201935483870987</v>
      </c>
      <c r="E24" s="4">
        <f t="shared" si="13"/>
        <v>10.012413793103452</v>
      </c>
      <c r="F24" s="4">
        <f t="shared" si="13"/>
        <v>8.880645161290321</v>
      </c>
      <c r="G24" s="4">
        <f t="shared" si="13"/>
        <v>7.9786666666666557</v>
      </c>
      <c r="H24" s="4">
        <f t="shared" si="13"/>
        <v>7.9735483870967725</v>
      </c>
      <c r="I24" s="4">
        <f t="shared" si="13"/>
        <v>4.8156666666666599</v>
      </c>
      <c r="J24" s="4">
        <f t="shared" si="13"/>
        <v>6.110967741935486</v>
      </c>
      <c r="K24" s="4">
        <f t="shared" si="13"/>
        <v>6.6993548387096755</v>
      </c>
      <c r="L24" s="4">
        <f t="shared" si="13"/>
        <v>6.8963333333333292</v>
      </c>
      <c r="M24" s="4">
        <f t="shared" si="13"/>
        <v>8.204838709677416</v>
      </c>
      <c r="N24" s="4">
        <f t="shared" si="13"/>
        <v>9.0996666666666748</v>
      </c>
      <c r="O24" s="4">
        <f t="shared" si="13"/>
        <v>9.509943074003786</v>
      </c>
      <c r="P24" s="4">
        <f>(P11-P16-P15)</f>
        <v>2930.3542352941167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D21+'2023'!$P$11-'2023'!D21</f>
        <v>7996.09</v>
      </c>
      <c r="E25" s="10">
        <f>E21+'2023'!$P$11-'2023'!E21</f>
        <v>8094.64</v>
      </c>
      <c r="F25" s="10">
        <f>F21+'2023'!$P$11-'2023'!F21</f>
        <v>8046.18</v>
      </c>
      <c r="G25" s="10">
        <f>G21+'2023'!$P$11-'2023'!G21</f>
        <v>8139.3099999999995</v>
      </c>
      <c r="H25" s="10">
        <f>H21+'2023'!$P$11-'2023'!H21</f>
        <v>8046.21</v>
      </c>
      <c r="I25" s="10">
        <f>I21+'2023'!$P$11-'2023'!I21</f>
        <v>7954.88</v>
      </c>
      <c r="J25" s="10">
        <f>J21+'2023'!$P$11-'2023'!J21</f>
        <v>7950.2399999999989</v>
      </c>
      <c r="K25" s="10">
        <f>K21+'2023'!$P$11-'2023'!K21</f>
        <v>7910.4000000000015</v>
      </c>
      <c r="L25" s="10">
        <f>L21+'2023'!$P$11-'2023'!L21</f>
        <v>7883.99</v>
      </c>
      <c r="M25" s="10">
        <f>M21+'2023'!$P$11-'2023'!M21</f>
        <v>7818.2300000000005</v>
      </c>
      <c r="N25" s="10">
        <f>N21+'2023'!$P$11-'2023'!N21</f>
        <v>7653.89</v>
      </c>
      <c r="O25" s="10">
        <f>O21+'2023'!$P$11-'2023'!O21</f>
        <v>7437.96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D22+SUM('2023'!E12:$O12)</f>
        <v>2936.69</v>
      </c>
      <c r="E26" s="10">
        <f>E22+SUM('2023'!F12:$O12)</f>
        <v>3079.4490000000001</v>
      </c>
      <c r="F26" s="10">
        <f>F22+SUM('2023'!G12:$O12)</f>
        <v>3058.8900000000003</v>
      </c>
      <c r="G26" s="10">
        <f>G22+SUM('2023'!H12:$O12)</f>
        <v>3144.4600000000005</v>
      </c>
      <c r="H26" s="10">
        <f>H22+SUM('2023'!I12:$O12)</f>
        <v>3116.4700000000003</v>
      </c>
      <c r="I26" s="10">
        <f>I22+SUM('2023'!J12:$O12)</f>
        <v>3109.5200000000004</v>
      </c>
      <c r="J26" s="10">
        <f>J22+SUM('2023'!K12:$O12)</f>
        <v>3102.13</v>
      </c>
      <c r="K26" s="10">
        <f>K22+SUM('2023'!L12:$O12)</f>
        <v>3099.1200000000003</v>
      </c>
      <c r="L26" s="10">
        <f>L22+SUM('2023'!M12:$O12)</f>
        <v>3103.4800000000005</v>
      </c>
      <c r="M26" s="10">
        <f>M22+SUM('2023'!N12:$O12)</f>
        <v>3019.737000000001</v>
      </c>
      <c r="N26" s="10">
        <f>N22+SUM('2023'!O12:$O12)</f>
        <v>2933.5810000000006</v>
      </c>
      <c r="O26" s="10">
        <f>O22</f>
        <v>2777.6057647058833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0.64359550561797751</v>
      </c>
      <c r="E28" s="51">
        <f t="shared" si="14"/>
        <v>0.54852684486130665</v>
      </c>
      <c r="F28" s="51">
        <f t="shared" si="14"/>
        <v>0.43397882907740931</v>
      </c>
      <c r="G28" s="51">
        <f t="shared" si="14"/>
        <v>0.38074210559756066</v>
      </c>
      <c r="H28" s="51">
        <f t="shared" si="14"/>
        <v>9.3291600485845214E-2</v>
      </c>
      <c r="I28" s="51">
        <f t="shared" si="14"/>
        <v>2.8279457768509698E-2</v>
      </c>
      <c r="J28" s="51">
        <f t="shared" si="14"/>
        <v>0</v>
      </c>
      <c r="K28" s="51">
        <f t="shared" si="14"/>
        <v>1.591309453904895E-2</v>
      </c>
      <c r="L28" s="51">
        <f t="shared" si="14"/>
        <v>0.11003011967907933</v>
      </c>
      <c r="M28" s="51">
        <f t="shared" si="14"/>
        <v>0.26685759394907405</v>
      </c>
      <c r="N28" s="51">
        <f t="shared" si="14"/>
        <v>0.39221486387049265</v>
      </c>
      <c r="O28" s="51">
        <f t="shared" si="14"/>
        <v>0.45666934715845031</v>
      </c>
      <c r="P28" s="51">
        <f t="shared" si="14"/>
        <v>0.38150323001278352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91</v>
      </c>
      <c r="D29" s="4">
        <f t="shared" ref="D29:H29" si="15">D16/D13</f>
        <v>1.0242078072289156</v>
      </c>
      <c r="E29" s="4">
        <f t="shared" si="15"/>
        <v>0.83400188087774274</v>
      </c>
      <c r="F29" s="4">
        <f t="shared" si="15"/>
        <v>0.66718412098298674</v>
      </c>
      <c r="G29" s="4">
        <f t="shared" si="15"/>
        <v>0.58914216867469948</v>
      </c>
      <c r="H29" s="4">
        <f t="shared" si="15"/>
        <v>0.43805161290322642</v>
      </c>
      <c r="I29" s="52"/>
      <c r="J29" s="52"/>
      <c r="K29" s="52"/>
      <c r="L29" s="4">
        <f t="shared" ref="L29:P29" si="16">L16/L13</f>
        <v>0.71365423728813904</v>
      </c>
      <c r="M29" s="4">
        <f t="shared" si="16"/>
        <v>0.4721885350318476</v>
      </c>
      <c r="N29" s="4">
        <f t="shared" si="16"/>
        <v>0.59876696035242238</v>
      </c>
      <c r="O29" s="4">
        <f t="shared" si="16"/>
        <v>0.69937302977232974</v>
      </c>
      <c r="P29" s="4">
        <f t="shared" si="16"/>
        <v>0.74157260568793248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26.884645161290322</v>
      </c>
      <c r="E30" s="4">
        <f t="shared" si="17"/>
        <v>17.98827586206896</v>
      </c>
      <c r="F30" s="4">
        <f t="shared" si="17"/>
        <v>11.161935483870968</v>
      </c>
      <c r="G30" s="4">
        <f t="shared" si="17"/>
        <v>7.9900000000000091</v>
      </c>
      <c r="H30" s="4">
        <f t="shared" si="17"/>
        <v>1.2883870967741953</v>
      </c>
      <c r="I30" s="4">
        <f t="shared" si="17"/>
        <v>0.22600000000000667</v>
      </c>
      <c r="J30" s="4">
        <f t="shared" si="17"/>
        <v>0</v>
      </c>
      <c r="K30" s="4">
        <f t="shared" si="17"/>
        <v>0.17483870967742171</v>
      </c>
      <c r="L30" s="4">
        <f t="shared" si="17"/>
        <v>1.3760000000000068</v>
      </c>
      <c r="M30" s="4">
        <f t="shared" si="17"/>
        <v>4.6890322580645201</v>
      </c>
      <c r="N30" s="4">
        <f t="shared" si="17"/>
        <v>8.8836666666666595</v>
      </c>
      <c r="O30" s="4">
        <f t="shared" si="17"/>
        <v>12.629411764705889</v>
      </c>
      <c r="P30" s="4">
        <f t="shared" si="17"/>
        <v>7.7530212150433968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22.896000335794792</v>
      </c>
      <c r="E31" s="4">
        <f t="shared" si="18"/>
        <v>18.434317435952867</v>
      </c>
      <c r="F31" s="4">
        <f t="shared" si="18"/>
        <v>12.65497623025794</v>
      </c>
      <c r="G31" s="4">
        <f t="shared" si="18"/>
        <v>7.4428293975903701</v>
      </c>
      <c r="H31" s="4">
        <f t="shared" si="18"/>
        <v>2.1761273673257056</v>
      </c>
      <c r="I31" s="4">
        <f t="shared" si="18"/>
        <v>0.22600000000000667</v>
      </c>
      <c r="J31" s="4">
        <f t="shared" si="18"/>
        <v>0</v>
      </c>
      <c r="K31" s="4">
        <f t="shared" si="18"/>
        <v>0.17483870967742171</v>
      </c>
      <c r="L31" s="4">
        <f t="shared" si="18"/>
        <v>3.9250983050847648</v>
      </c>
      <c r="M31" s="4">
        <f t="shared" si="18"/>
        <v>5.7576537497431746</v>
      </c>
      <c r="N31" s="4">
        <f t="shared" si="18"/>
        <v>9.8596959471365544</v>
      </c>
      <c r="O31" s="4">
        <f t="shared" si="18"/>
        <v>13.964900175131357</v>
      </c>
      <c r="P31" s="4">
        <f t="shared" si="18"/>
        <v>8.0998997506634609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92</v>
      </c>
      <c r="D32" s="4">
        <f t="shared" ref="D32:P32" si="19">D16/$F$4</f>
        <v>3.4450396825396821</v>
      </c>
      <c r="E32" s="4">
        <f t="shared" si="19"/>
        <v>2.1563326719576712</v>
      </c>
      <c r="F32" s="4">
        <f t="shared" si="19"/>
        <v>1.4303075396825395</v>
      </c>
      <c r="G32" s="4">
        <f t="shared" si="19"/>
        <v>0.99082341269841379</v>
      </c>
      <c r="H32" s="4">
        <f t="shared" si="19"/>
        <v>0.1650958994708997</v>
      </c>
      <c r="I32" s="4">
        <f t="shared" si="19"/>
        <v>2.8025793650794478E-2</v>
      </c>
      <c r="J32" s="4">
        <f t="shared" si="19"/>
        <v>0</v>
      </c>
      <c r="K32" s="4">
        <f t="shared" si="19"/>
        <v>2.2404100529100829E-2</v>
      </c>
      <c r="L32" s="4">
        <f t="shared" si="19"/>
        <v>0.17063492063492144</v>
      </c>
      <c r="M32" s="4">
        <f t="shared" si="19"/>
        <v>0.60085978835978882</v>
      </c>
      <c r="N32" s="4">
        <f t="shared" si="19"/>
        <v>1.101645171957671</v>
      </c>
      <c r="O32" s="4">
        <f t="shared" si="19"/>
        <v>1.6183522019919088</v>
      </c>
      <c r="P32" s="4">
        <f t="shared" si="19"/>
        <v>11.729521183473393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93</v>
      </c>
      <c r="D33" s="4">
        <f t="shared" ref="D33:P33" si="20">D16/$F$3</f>
        <v>8.6814999999999998</v>
      </c>
      <c r="E33" s="4">
        <f t="shared" si="20"/>
        <v>5.4339583333333321</v>
      </c>
      <c r="F33" s="4">
        <f t="shared" si="20"/>
        <v>3.6043749999999997</v>
      </c>
      <c r="G33" s="4">
        <f t="shared" si="20"/>
        <v>2.4968750000000028</v>
      </c>
      <c r="H33" s="4">
        <f t="shared" si="20"/>
        <v>0.41604166666666725</v>
      </c>
      <c r="I33" s="4">
        <f t="shared" si="20"/>
        <v>7.0625000000002089E-2</v>
      </c>
      <c r="J33" s="4">
        <f t="shared" si="20"/>
        <v>0</v>
      </c>
      <c r="K33" s="4">
        <f t="shared" si="20"/>
        <v>5.6458333333334089E-2</v>
      </c>
      <c r="L33" s="4">
        <f t="shared" si="20"/>
        <v>0.4300000000000021</v>
      </c>
      <c r="M33" s="4">
        <f t="shared" si="20"/>
        <v>1.514166666666668</v>
      </c>
      <c r="N33" s="4">
        <f t="shared" si="20"/>
        <v>2.7761458333333309</v>
      </c>
      <c r="O33" s="4">
        <f t="shared" si="20"/>
        <v>4.0782475490196104</v>
      </c>
      <c r="P33" s="4">
        <f t="shared" si="20"/>
        <v>29.55839338235295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94</v>
      </c>
      <c r="D34" s="4">
        <f t="shared" ref="D34:P34" si="21">D17/$F$4</f>
        <v>2.9339286144578307</v>
      </c>
      <c r="E34" s="4">
        <f t="shared" si="21"/>
        <v>2.2098016106259633</v>
      </c>
      <c r="F34" s="4">
        <f t="shared" si="21"/>
        <v>1.621628071833648</v>
      </c>
      <c r="G34" s="4">
        <f t="shared" si="21"/>
        <v>0.92296991537578987</v>
      </c>
      <c r="H34" s="4">
        <f t="shared" si="21"/>
        <v>0.27885229988052607</v>
      </c>
      <c r="I34" s="4">
        <f t="shared" si="21"/>
        <v>2.8025793650794478E-2</v>
      </c>
      <c r="J34" s="4">
        <f t="shared" si="21"/>
        <v>0</v>
      </c>
      <c r="K34" s="4">
        <f t="shared" si="21"/>
        <v>2.2404100529100829E-2</v>
      </c>
      <c r="L34" s="4">
        <f t="shared" si="21"/>
        <v>0.48674334140436065</v>
      </c>
      <c r="M34" s="4">
        <f t="shared" si="21"/>
        <v>0.73779458598726189</v>
      </c>
      <c r="N34" s="4">
        <f t="shared" si="21"/>
        <v>1.2226805490000687</v>
      </c>
      <c r="O34" s="4">
        <f t="shared" si="21"/>
        <v>1.7894837360659395</v>
      </c>
      <c r="P34" s="4">
        <f t="shared" si="21"/>
        <v>12.254312618811285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95</v>
      </c>
      <c r="D35" s="4">
        <f t="shared" ref="D35:P35" si="22">D17/$F$3</f>
        <v>7.3935001084337344</v>
      </c>
      <c r="E35" s="4">
        <f t="shared" si="22"/>
        <v>5.568700058777428</v>
      </c>
      <c r="F35" s="4">
        <f t="shared" si="22"/>
        <v>4.0865027410207935</v>
      </c>
      <c r="G35" s="4">
        <f t="shared" si="22"/>
        <v>2.3258841867469906</v>
      </c>
      <c r="H35" s="4">
        <f t="shared" si="22"/>
        <v>0.70270779569892572</v>
      </c>
      <c r="I35" s="4">
        <f t="shared" si="22"/>
        <v>7.0625000000002089E-2</v>
      </c>
      <c r="J35" s="4">
        <f t="shared" si="22"/>
        <v>0</v>
      </c>
      <c r="K35" s="4">
        <f t="shared" si="22"/>
        <v>5.6458333333334089E-2</v>
      </c>
      <c r="L35" s="4">
        <f t="shared" si="22"/>
        <v>1.2265932203389889</v>
      </c>
      <c r="M35" s="4">
        <f t="shared" si="22"/>
        <v>1.8592423566878999</v>
      </c>
      <c r="N35" s="4">
        <f t="shared" si="22"/>
        <v>3.0811549834801735</v>
      </c>
      <c r="O35" s="4">
        <f t="shared" si="22"/>
        <v>4.5094990148861678</v>
      </c>
      <c r="P35" s="4">
        <f t="shared" si="22"/>
        <v>30.880867799404442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96</v>
      </c>
      <c r="D36" s="4">
        <f t="shared" ref="D36:H36" si="23">1000*D32/D13</f>
        <v>4.2336632243258743</v>
      </c>
      <c r="E36" s="4">
        <f t="shared" si="23"/>
        <v>3.4474284097128911</v>
      </c>
      <c r="F36" s="4">
        <f t="shared" si="23"/>
        <v>2.7578708704653883</v>
      </c>
      <c r="G36" s="4">
        <f t="shared" si="23"/>
        <v>2.4352768215720051</v>
      </c>
      <c r="H36" s="4">
        <f t="shared" si="23"/>
        <v>1.8107292200034162</v>
      </c>
      <c r="I36" s="52"/>
      <c r="J36" s="52"/>
      <c r="K36" s="52"/>
      <c r="L36" s="4">
        <f t="shared" ref="L36:P36" si="24">1000*L32/L13</f>
        <v>2.9499596448749132</v>
      </c>
      <c r="M36" s="4">
        <f t="shared" si="24"/>
        <v>1.9518375290668302</v>
      </c>
      <c r="N36" s="4">
        <f t="shared" si="24"/>
        <v>2.4750618400811111</v>
      </c>
      <c r="O36" s="4">
        <f t="shared" si="24"/>
        <v>2.8909268757123416</v>
      </c>
      <c r="P36" s="4">
        <f t="shared" si="24"/>
        <v>3.0653629534058053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72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14.15</v>
      </c>
      <c r="E47" s="4">
        <v>7.23</v>
      </c>
      <c r="F47" s="4">
        <v>7.32</v>
      </c>
      <c r="G47" s="4">
        <v>5.82</v>
      </c>
      <c r="H47" s="4">
        <v>3.43</v>
      </c>
      <c r="I47" s="4">
        <v>3.86</v>
      </c>
      <c r="J47" s="4">
        <v>1.92</v>
      </c>
      <c r="K47" s="4">
        <v>1.48</v>
      </c>
      <c r="L47" s="4">
        <v>5.35</v>
      </c>
      <c r="M47" s="4">
        <v>4.21</v>
      </c>
      <c r="N47" s="4">
        <v>5.08</v>
      </c>
      <c r="O47" s="4">
        <v>4.79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(SUMPRODUCT($D$47:D47,$D$11:D11)+SUMPRODUCT('2023'!E$47:$O47,'2023'!E$11:$O11))/D25</f>
        <v>7.6673748919784552</v>
      </c>
      <c r="E49" s="18">
        <f>(SUMPRODUCT($D$47:E47,$D$11:E11)+SUMPRODUCT('2023'!F$47:$O47,'2023'!F$11:$O11))/E25</f>
        <v>7.5198775609539146</v>
      </c>
      <c r="F49" s="18">
        <f>(SUMPRODUCT($D$47:F47,$D$11:F11)+SUMPRODUCT('2023'!G$47:$O47,'2023'!G$11:$O11))/(F21+SUM('2023'!G$11:$O11))</f>
        <v>7.4611654101697944</v>
      </c>
      <c r="G49" s="18">
        <f>(SUMPRODUCT($D$47:G47,$D$11:G11)+SUMPRODUCT('2023'!H$47:$O47,'2023'!H$11:$O11))/(G21+SUM('2023'!H$11:$O11))</f>
        <v>7.4166838220930282</v>
      </c>
      <c r="H49" s="18">
        <f>(SUMPRODUCT($D$47:H47,$D$11:H11)+SUMPRODUCT('2023'!I$47:$O47,'2023'!I$11:$O11))/(H21+SUM('2023'!I$11:$O11))</f>
        <v>7.4621646216044573</v>
      </c>
      <c r="I49" s="18">
        <f>(SUMPRODUCT($D$47:I47,$D$11:I11)+SUMPRODUCT('2023'!J$47:$O47,'2023'!J$11:$O11))/(I21+SUM('2023'!J$11:$O11))</f>
        <v>7.4514964147793554</v>
      </c>
      <c r="J49" s="18">
        <f>(SUMPRODUCT($D$47:J47,$D$11:J11)+SUMPRODUCT('2023'!K$47:$O47,'2023'!K$11:$O11))/(J21+SUM('2023'!K$11:$O11))</f>
        <v>7.3681423705447884</v>
      </c>
      <c r="K49" s="18">
        <f>(SUMPRODUCT($D$47:K47,$D$11:K11)+SUMPRODUCT('2023'!L$47:$O47,'2023'!L$11:$O11))/(K21+SUM('2023'!L$11:$O11))</f>
        <v>7.156848275687703</v>
      </c>
      <c r="L49" s="18">
        <f>(SUMPRODUCT($D$47:L47,$D$11:L11)+SUMPRODUCT('2023'!M$47:$O47,'2023'!M$11:$O11))/(L21+SUM('2023'!M$11:$O11))</f>
        <v>7.2617170113102638</v>
      </c>
      <c r="M49" s="18">
        <f>(SUMPRODUCT($D$47:M47,$D$11:M11)+SUMPRODUCT('2023'!N$47:$O47,'2023'!N$11:$O11))/(M21+SUM('2023'!N$11:$O11))</f>
        <v>7.2584946720677177</v>
      </c>
      <c r="N49" s="18">
        <f>(SUMPRODUCT($D$47:N47,$D$11:N11)+SUMPRODUCT('2023'!O$47:$O47,'2023'!O$11:$O11))/(N21+SUM('2023'!O$11:$O11))</f>
        <v>7.3703174725531717</v>
      </c>
      <c r="O49" s="18">
        <f>(SUMPRODUCT($D$47:O47,$D$11:O11))/(O21)</f>
        <v>6.726644066383793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500-000000000000}"/>
    <hyperlink ref="R2" r:id="rId2" xr:uid="{00000000-0004-0000-0500-000001000000}"/>
    <hyperlink ref="R3" r:id="rId3" location="!/" xr:uid="{00000000-0004-0000-05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97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11.044565217391304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98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2023</v>
      </c>
      <c r="B8" s="25" t="s">
        <v>27</v>
      </c>
      <c r="C8" s="26" t="s">
        <v>99</v>
      </c>
      <c r="D8" s="27">
        <v>-2.2000000000000002</v>
      </c>
      <c r="E8" s="27">
        <v>-2.9</v>
      </c>
      <c r="F8" s="27">
        <v>-2.5</v>
      </c>
      <c r="G8" s="27">
        <v>4.9000000000000004</v>
      </c>
      <c r="H8" s="27">
        <v>10.3</v>
      </c>
      <c r="I8" s="27">
        <v>15.8</v>
      </c>
      <c r="J8" s="27">
        <v>16.2</v>
      </c>
      <c r="K8" s="27">
        <v>16.5</v>
      </c>
      <c r="L8" s="27">
        <v>14.1</v>
      </c>
      <c r="M8" s="27">
        <v>3.5</v>
      </c>
      <c r="N8" s="27">
        <v>-1.1000000000000001</v>
      </c>
      <c r="O8" s="28">
        <v>-5.7</v>
      </c>
      <c r="P8" s="27">
        <f>AVERAGE(D8:O8)</f>
        <v>5.5750000000000002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2023</v>
      </c>
      <c r="B9" s="25" t="s">
        <v>29</v>
      </c>
      <c r="C9" s="30" t="s">
        <v>30</v>
      </c>
      <c r="D9" s="31">
        <v>526.13</v>
      </c>
      <c r="E9" s="31">
        <v>504.05</v>
      </c>
      <c r="F9" s="31">
        <v>482.55</v>
      </c>
      <c r="G9" s="31">
        <v>329.77</v>
      </c>
      <c r="H9" s="31">
        <v>342.16</v>
      </c>
      <c r="I9" s="31">
        <v>183.1</v>
      </c>
      <c r="J9" s="31">
        <v>175.29</v>
      </c>
      <c r="K9" s="31">
        <v>189.82</v>
      </c>
      <c r="L9" s="31">
        <v>211.47</v>
      </c>
      <c r="M9" s="31">
        <v>337.57</v>
      </c>
      <c r="N9" s="31">
        <v>502.4</v>
      </c>
      <c r="O9" s="32">
        <v>634.39</v>
      </c>
      <c r="P9" s="31">
        <f t="shared" ref="P9:P13" si="0">SUM(D9:O9)</f>
        <v>4418.7</v>
      </c>
      <c r="Q9" s="2"/>
      <c r="R9" s="33">
        <f t="shared" ref="R9:R12" si="1">P9/$P$11</f>
        <v>0.5837606035905234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2023</v>
      </c>
      <c r="B10" s="25" t="s">
        <v>31</v>
      </c>
      <c r="C10" s="30" t="s">
        <v>30</v>
      </c>
      <c r="D10" s="31">
        <v>342.1</v>
      </c>
      <c r="E10" s="31">
        <v>348.42</v>
      </c>
      <c r="F10" s="31">
        <v>363.23</v>
      </c>
      <c r="G10" s="31">
        <v>206.66</v>
      </c>
      <c r="H10" s="31">
        <v>179.06</v>
      </c>
      <c r="I10" s="31">
        <v>147.97999999999999</v>
      </c>
      <c r="J10" s="31">
        <v>129.29</v>
      </c>
      <c r="K10" s="31">
        <v>190.62</v>
      </c>
      <c r="L10" s="31">
        <v>190.11</v>
      </c>
      <c r="M10" s="31">
        <v>272.89999999999998</v>
      </c>
      <c r="N10" s="32">
        <v>341.44</v>
      </c>
      <c r="O10" s="37">
        <v>438.86</v>
      </c>
      <c r="P10" s="38">
        <f t="shared" si="0"/>
        <v>3150.6700000000005</v>
      </c>
      <c r="Q10" s="39"/>
      <c r="R10" s="33">
        <f t="shared" si="1"/>
        <v>0.41623939640947671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2023</v>
      </c>
      <c r="B11" s="25" t="s">
        <v>32</v>
      </c>
      <c r="C11" s="30" t="s">
        <v>30</v>
      </c>
      <c r="D11" s="31">
        <f t="shared" ref="D11:O11" si="2">SUM(D9:D10)</f>
        <v>868.23</v>
      </c>
      <c r="E11" s="31">
        <f t="shared" si="2"/>
        <v>852.47</v>
      </c>
      <c r="F11" s="31">
        <f t="shared" si="2"/>
        <v>845.78</v>
      </c>
      <c r="G11" s="31">
        <f t="shared" si="2"/>
        <v>536.42999999999995</v>
      </c>
      <c r="H11" s="31">
        <f t="shared" si="2"/>
        <v>521.22</v>
      </c>
      <c r="I11" s="31">
        <f t="shared" si="2"/>
        <v>331.08</v>
      </c>
      <c r="J11" s="31">
        <f t="shared" si="2"/>
        <v>304.58</v>
      </c>
      <c r="K11" s="31">
        <f t="shared" si="2"/>
        <v>380.44</v>
      </c>
      <c r="L11" s="31">
        <f t="shared" si="2"/>
        <v>401.58000000000004</v>
      </c>
      <c r="M11" s="31">
        <f t="shared" si="2"/>
        <v>610.47</v>
      </c>
      <c r="N11" s="31">
        <f t="shared" si="2"/>
        <v>843.83999999999992</v>
      </c>
      <c r="O11" s="31">
        <f t="shared" si="2"/>
        <v>1073.25</v>
      </c>
      <c r="P11" s="40">
        <f t="shared" si="0"/>
        <v>7569.37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2023</v>
      </c>
      <c r="B12" s="25" t="s">
        <v>33</v>
      </c>
      <c r="C12" s="30" t="s">
        <v>30</v>
      </c>
      <c r="D12" s="31">
        <f>(1050.888-932.511+298.13)</f>
        <v>416.50699999999995</v>
      </c>
      <c r="E12" s="31">
        <f>(677.031-298.13)</f>
        <v>378.90099999999995</v>
      </c>
      <c r="F12" s="31">
        <f>(1043.61-677.031)</f>
        <v>366.57899999999995</v>
      </c>
      <c r="G12" s="31">
        <f>(1197.74-1043.61)</f>
        <v>154.13000000000011</v>
      </c>
      <c r="H12" s="31">
        <f>(1265.67-1197.74)</f>
        <v>67.930000000000064</v>
      </c>
      <c r="I12" s="31">
        <f>(1279.4-1265.67)</f>
        <v>13.730000000000018</v>
      </c>
      <c r="J12" s="31">
        <f>1299.22-1291.83</f>
        <v>7.3900000000001</v>
      </c>
      <c r="K12" s="31">
        <f>1313.09-1299.21-5.45</f>
        <v>8.4299999999998825</v>
      </c>
      <c r="L12" s="31">
        <f>(1350.01-1313.09)</f>
        <v>36.920000000000073</v>
      </c>
      <c r="M12" s="31">
        <f>(1524.15-1350.01)+54.963</f>
        <v>229.10300000000009</v>
      </c>
      <c r="N12" s="31">
        <f>(407.629-54.963)</f>
        <v>352.666</v>
      </c>
      <c r="O12" s="31">
        <f>(955.116-407.629)</f>
        <v>547.48699999999997</v>
      </c>
      <c r="P12" s="31">
        <f t="shared" si="0"/>
        <v>2579.7730000000001</v>
      </c>
      <c r="Q12" s="39"/>
      <c r="R12" s="33">
        <f t="shared" si="1"/>
        <v>0.3408173995986456</v>
      </c>
      <c r="S12" s="34"/>
      <c r="T12" s="29"/>
      <c r="U12" s="11"/>
      <c r="V12" s="2"/>
      <c r="W12" s="39" t="s">
        <v>34</v>
      </c>
      <c r="X12" s="11">
        <f>P12+'2022'!X12</f>
        <v>33302.461714285717</v>
      </c>
      <c r="Y12" s="2" t="s">
        <v>30</v>
      </c>
      <c r="Z12" s="11">
        <f>X12*1000/400</f>
        <v>83256.154285714292</v>
      </c>
      <c r="AA12" s="2" t="s">
        <v>35</v>
      </c>
    </row>
    <row r="13" spans="1:27" ht="12.75" customHeight="1" x14ac:dyDescent="0.25">
      <c r="A13" s="24">
        <v>2023</v>
      </c>
      <c r="B13" s="41" t="s">
        <v>36</v>
      </c>
      <c r="C13" s="26" t="s">
        <v>100</v>
      </c>
      <c r="D13" s="31">
        <v>590</v>
      </c>
      <c r="E13" s="31">
        <v>558</v>
      </c>
      <c r="F13" s="31">
        <v>596</v>
      </c>
      <c r="G13" s="31">
        <v>326</v>
      </c>
      <c r="H13" s="31">
        <v>122</v>
      </c>
      <c r="I13" s="31">
        <f>28/1.02</f>
        <v>27.450980392156861</v>
      </c>
      <c r="J13" s="31">
        <v>0</v>
      </c>
      <c r="K13" s="31">
        <v>0</v>
      </c>
      <c r="L13" s="31">
        <f>25/1.02</f>
        <v>24.509803921568626</v>
      </c>
      <c r="M13" s="31">
        <f>421/1.02</f>
        <v>412.74509803921569</v>
      </c>
      <c r="N13" s="31">
        <f>554/1.02</f>
        <v>543.13725490196077</v>
      </c>
      <c r="O13" s="42">
        <f>716/1.02</f>
        <v>701.96078431372553</v>
      </c>
      <c r="P13" s="31">
        <f t="shared" si="0"/>
        <v>3901.8039215686276</v>
      </c>
      <c r="Q13" s="36"/>
      <c r="R13" s="33">
        <f>(P13-P14)/P14</f>
        <v>-6.0937684339680477E-2</v>
      </c>
      <c r="S13" s="2"/>
      <c r="T13" s="29"/>
      <c r="U13" s="29"/>
      <c r="V13" s="2"/>
      <c r="W13" s="36" t="s">
        <v>38</v>
      </c>
      <c r="X13" s="11">
        <f>X12*2.7-X12</f>
        <v>56614.184914285725</v>
      </c>
      <c r="Y13" s="2" t="s">
        <v>30</v>
      </c>
      <c r="Z13" s="2"/>
      <c r="AA13" s="2"/>
    </row>
    <row r="14" spans="1:27" ht="12.75" customHeight="1" x14ac:dyDescent="0.25">
      <c r="A14" s="24">
        <v>2023</v>
      </c>
      <c r="B14" s="41" t="s">
        <v>39</v>
      </c>
      <c r="C14" s="26" t="s">
        <v>101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2023</v>
      </c>
      <c r="B15" s="25" t="s">
        <v>41</v>
      </c>
      <c r="C15" s="30" t="s">
        <v>30</v>
      </c>
      <c r="D15" s="31">
        <v>152</v>
      </c>
      <c r="E15" s="31">
        <v>166</v>
      </c>
      <c r="F15" s="31">
        <v>156</v>
      </c>
      <c r="G15" s="31">
        <v>150</v>
      </c>
      <c r="H15" s="31">
        <v>176</v>
      </c>
      <c r="I15" s="31">
        <v>121</v>
      </c>
      <c r="J15" s="31">
        <v>122</v>
      </c>
      <c r="K15" s="31">
        <v>142</v>
      </c>
      <c r="L15" s="31">
        <v>139</v>
      </c>
      <c r="M15" s="31">
        <v>126</v>
      </c>
      <c r="N15" s="31">
        <v>160</v>
      </c>
      <c r="O15" s="42">
        <v>178</v>
      </c>
      <c r="P15" s="31">
        <f t="shared" ref="P15:P17" si="3">SUM(D15:O15)</f>
        <v>1788</v>
      </c>
      <c r="Q15" s="2"/>
      <c r="R15" s="33">
        <f>P15/$P$11</f>
        <v>0.23621516718035979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2023</v>
      </c>
      <c r="B16" s="25" t="s">
        <v>42</v>
      </c>
      <c r="C16" s="30" t="s">
        <v>30</v>
      </c>
      <c r="D16" s="31">
        <f t="shared" ref="D16:M16" si="4">D12</f>
        <v>416.50699999999995</v>
      </c>
      <c r="E16" s="31">
        <f t="shared" si="4"/>
        <v>378.90099999999995</v>
      </c>
      <c r="F16" s="31">
        <f t="shared" si="4"/>
        <v>366.57899999999995</v>
      </c>
      <c r="G16" s="31">
        <f t="shared" si="4"/>
        <v>154.13000000000011</v>
      </c>
      <c r="H16" s="31">
        <f t="shared" si="4"/>
        <v>67.930000000000064</v>
      </c>
      <c r="I16" s="31">
        <f t="shared" si="4"/>
        <v>13.730000000000018</v>
      </c>
      <c r="J16" s="31">
        <f t="shared" si="4"/>
        <v>7.3900000000001</v>
      </c>
      <c r="K16" s="31">
        <f t="shared" si="4"/>
        <v>8.4299999999998825</v>
      </c>
      <c r="L16" s="31">
        <f t="shared" si="4"/>
        <v>36.920000000000073</v>
      </c>
      <c r="M16" s="31">
        <f t="shared" si="4"/>
        <v>229.10300000000009</v>
      </c>
      <c r="N16" s="31">
        <f>N12+30</f>
        <v>382.666</v>
      </c>
      <c r="O16" s="31">
        <f>O12+50</f>
        <v>597.48699999999997</v>
      </c>
      <c r="P16" s="31">
        <f t="shared" si="3"/>
        <v>2659.7730000000001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2023</v>
      </c>
      <c r="B17" s="25" t="s">
        <v>43</v>
      </c>
      <c r="C17" s="30" t="s">
        <v>30</v>
      </c>
      <c r="D17" s="31">
        <f t="shared" ref="D17:H17" si="5">IF(D16&lt;0,0,((D14/D13))*D16)</f>
        <v>489.21923898305079</v>
      </c>
      <c r="E17" s="31">
        <f t="shared" si="5"/>
        <v>435.26082616487452</v>
      </c>
      <c r="F17" s="31">
        <f t="shared" si="5"/>
        <v>361.65847651006709</v>
      </c>
      <c r="G17" s="31">
        <f t="shared" si="5"/>
        <v>179.18794478527619</v>
      </c>
      <c r="H17" s="31">
        <f t="shared" si="5"/>
        <v>85.747704918032866</v>
      </c>
      <c r="I17" s="46">
        <f t="shared" ref="I17:K17" si="6">I16</f>
        <v>13.730000000000018</v>
      </c>
      <c r="J17" s="46">
        <f t="shared" si="6"/>
        <v>7.3900000000001</v>
      </c>
      <c r="K17" s="46">
        <f t="shared" si="6"/>
        <v>8.4299999999998825</v>
      </c>
      <c r="L17" s="31">
        <f t="shared" ref="L17:O17" si="7">IF(L16&lt;0,0,((L14/L13))*L16)</f>
        <v>248.5454400000005</v>
      </c>
      <c r="M17" s="31">
        <f t="shared" si="7"/>
        <v>209.81698973871741</v>
      </c>
      <c r="N17" s="31">
        <f t="shared" si="7"/>
        <v>348.04646945848373</v>
      </c>
      <c r="O17" s="42">
        <f t="shared" si="7"/>
        <v>526.87338276536309</v>
      </c>
      <c r="P17" s="40">
        <f t="shared" si="3"/>
        <v>2913.9064733238665</v>
      </c>
      <c r="Q17" s="47"/>
      <c r="R17" s="39">
        <f>(P14-P13)/P14</f>
        <v>6.0937684339680477E-2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28.00741935483871</v>
      </c>
      <c r="E20" s="4">
        <f t="shared" si="8"/>
        <v>30.445357142857144</v>
      </c>
      <c r="F20" s="4">
        <f t="shared" si="8"/>
        <v>27.283225806451611</v>
      </c>
      <c r="G20" s="4">
        <f t="shared" si="8"/>
        <v>17.880999999999997</v>
      </c>
      <c r="H20" s="4">
        <f t="shared" si="8"/>
        <v>16.813548387096777</v>
      </c>
      <c r="I20" s="4">
        <f t="shared" si="8"/>
        <v>11.036</v>
      </c>
      <c r="J20" s="4">
        <f t="shared" si="8"/>
        <v>9.8251612903225798</v>
      </c>
      <c r="K20" s="4">
        <f t="shared" si="8"/>
        <v>12.272258064516128</v>
      </c>
      <c r="L20" s="4">
        <f t="shared" si="8"/>
        <v>13.386000000000001</v>
      </c>
      <c r="M20" s="4">
        <f t="shared" si="8"/>
        <v>19.692580645161293</v>
      </c>
      <c r="N20" s="4">
        <f t="shared" si="8"/>
        <v>28.127999999999997</v>
      </c>
      <c r="O20" s="4">
        <f t="shared" si="8"/>
        <v>34.62096774193548</v>
      </c>
      <c r="P20" s="4">
        <f>P11/365</f>
        <v>20.738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868.23</v>
      </c>
      <c r="E21" s="4">
        <f t="shared" ref="E21:O21" si="10">SUM($D$11:E11)</f>
        <v>1720.7</v>
      </c>
      <c r="F21" s="4">
        <f t="shared" si="10"/>
        <v>2566.48</v>
      </c>
      <c r="G21" s="4">
        <f t="shared" si="10"/>
        <v>3102.91</v>
      </c>
      <c r="H21" s="4">
        <f t="shared" si="10"/>
        <v>3624.13</v>
      </c>
      <c r="I21" s="4">
        <f t="shared" si="10"/>
        <v>3955.21</v>
      </c>
      <c r="J21" s="4">
        <f t="shared" si="10"/>
        <v>4259.79</v>
      </c>
      <c r="K21" s="4">
        <f t="shared" si="10"/>
        <v>4640.2299999999996</v>
      </c>
      <c r="L21" s="4">
        <f t="shared" si="10"/>
        <v>5041.8099999999995</v>
      </c>
      <c r="M21" s="4">
        <f t="shared" si="10"/>
        <v>5652.28</v>
      </c>
      <c r="N21" s="4">
        <f t="shared" si="10"/>
        <v>6496.12</v>
      </c>
      <c r="O21" s="4">
        <f t="shared" si="10"/>
        <v>7569.37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416.50699999999995</v>
      </c>
      <c r="E22" s="4">
        <f t="shared" ref="E22:O22" si="11">SUM($D$12:E12)</f>
        <v>795.4079999999999</v>
      </c>
      <c r="F22" s="4">
        <f t="shared" si="11"/>
        <v>1161.9869999999999</v>
      </c>
      <c r="G22" s="4">
        <f t="shared" si="11"/>
        <v>1316.117</v>
      </c>
      <c r="H22" s="4">
        <f t="shared" si="11"/>
        <v>1384.047</v>
      </c>
      <c r="I22" s="4">
        <f t="shared" si="11"/>
        <v>1397.777</v>
      </c>
      <c r="J22" s="4">
        <f t="shared" si="11"/>
        <v>1405.1670000000001</v>
      </c>
      <c r="K22" s="4">
        <f t="shared" si="11"/>
        <v>1413.597</v>
      </c>
      <c r="L22" s="4">
        <f t="shared" si="11"/>
        <v>1450.5170000000001</v>
      </c>
      <c r="M22" s="4">
        <f t="shared" si="11"/>
        <v>1679.6200000000001</v>
      </c>
      <c r="N22" s="4">
        <f t="shared" si="11"/>
        <v>2032.2860000000001</v>
      </c>
      <c r="O22" s="4">
        <f t="shared" si="11"/>
        <v>2579.7730000000001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416.50699999999995</v>
      </c>
      <c r="E23" s="4">
        <f t="shared" ref="E23:O23" si="12">SUM($D$16:E16)</f>
        <v>795.4079999999999</v>
      </c>
      <c r="F23" s="4">
        <f t="shared" si="12"/>
        <v>1161.9869999999999</v>
      </c>
      <c r="G23" s="4">
        <f t="shared" si="12"/>
        <v>1316.117</v>
      </c>
      <c r="H23" s="4">
        <f t="shared" si="12"/>
        <v>1384.047</v>
      </c>
      <c r="I23" s="4">
        <f t="shared" si="12"/>
        <v>1397.777</v>
      </c>
      <c r="J23" s="4">
        <f t="shared" si="12"/>
        <v>1405.1670000000001</v>
      </c>
      <c r="K23" s="4">
        <f t="shared" si="12"/>
        <v>1413.597</v>
      </c>
      <c r="L23" s="4">
        <f t="shared" si="12"/>
        <v>1450.5170000000001</v>
      </c>
      <c r="M23" s="4">
        <f t="shared" si="12"/>
        <v>1679.6200000000001</v>
      </c>
      <c r="N23" s="4">
        <f t="shared" si="12"/>
        <v>2062.2860000000001</v>
      </c>
      <c r="O23" s="4">
        <f t="shared" si="12"/>
        <v>2659.7730000000001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9.6684838709677443</v>
      </c>
      <c r="E24" s="4">
        <f t="shared" si="13"/>
        <v>10.984607142857145</v>
      </c>
      <c r="F24" s="4">
        <f t="shared" si="13"/>
        <v>10.42583870967742</v>
      </c>
      <c r="G24" s="4">
        <f t="shared" si="13"/>
        <v>7.7433333333333279</v>
      </c>
      <c r="H24" s="4">
        <f t="shared" si="13"/>
        <v>8.944838709677418</v>
      </c>
      <c r="I24" s="4">
        <f t="shared" si="13"/>
        <v>6.544999999999999</v>
      </c>
      <c r="J24" s="4">
        <f t="shared" si="13"/>
        <v>5.6512903225806417</v>
      </c>
      <c r="K24" s="4">
        <f t="shared" si="13"/>
        <v>7.4196774193548425</v>
      </c>
      <c r="L24" s="4">
        <f t="shared" si="13"/>
        <v>7.5219999999999994</v>
      </c>
      <c r="M24" s="4">
        <f t="shared" si="13"/>
        <v>8.2376451612903221</v>
      </c>
      <c r="N24" s="4">
        <f t="shared" si="13"/>
        <v>10.03913333333333</v>
      </c>
      <c r="O24" s="4">
        <f t="shared" si="13"/>
        <v>9.6052580645161303</v>
      </c>
      <c r="P24" s="4">
        <f>(P11-P16-P15)</f>
        <v>3121.5969999999998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D21+'2022'!$P$11-'2022'!D21</f>
        <v>7467.42</v>
      </c>
      <c r="E25" s="10">
        <f>E21+'2022'!$P$11-'2022'!E21</f>
        <v>7376.9599999999991</v>
      </c>
      <c r="F25" s="10">
        <f>F21+'2022'!$P$11-'2022'!F21</f>
        <v>7312.35</v>
      </c>
      <c r="G25" s="10">
        <f>G21+'2022'!$P$11-'2022'!G21</f>
        <v>7114.9600000000009</v>
      </c>
      <c r="H25" s="10">
        <f>H21+'2022'!$P$11-'2022'!H21</f>
        <v>7136.04</v>
      </c>
      <c r="I25" s="10">
        <f>I21+'2022'!$P$11-'2022'!I21</f>
        <v>7162.44</v>
      </c>
      <c r="J25" s="10">
        <f>J21+'2022'!$P$11-'2022'!J21</f>
        <v>7096.57</v>
      </c>
      <c r="K25" s="10">
        <f>K21+'2022'!$P$11-'2022'!K21</f>
        <v>7208.7300000000005</v>
      </c>
      <c r="L25" s="10">
        <f>L21+'2022'!$P$11-'2022'!L21</f>
        <v>7178.0099999999984</v>
      </c>
      <c r="M25" s="10">
        <f>M21+'2022'!$P$11-'2022'!M21</f>
        <v>7242.5999999999995</v>
      </c>
      <c r="N25" s="10">
        <f>N21+'2022'!$P$11-'2022'!N21</f>
        <v>7430.74</v>
      </c>
      <c r="O25" s="10">
        <f>O21+'2022'!$P$11-'2022'!O21</f>
        <v>7569.37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D22+SUM('2022'!E12:$O12)</f>
        <v>2465.0760000000005</v>
      </c>
      <c r="E26" s="10">
        <f>E22+SUM('2022'!F12:$O12)</f>
        <v>2408.8969999999999</v>
      </c>
      <c r="F26" s="10">
        <f>F22+SUM('2022'!G12:$O12)</f>
        <v>2417.7060000000001</v>
      </c>
      <c r="G26" s="10">
        <f>G22+SUM('2022'!H12:$O12)</f>
        <v>2342.0659999999998</v>
      </c>
      <c r="H26" s="10">
        <f>H22+SUM('2022'!I12:$O12)</f>
        <v>2325.5360000000001</v>
      </c>
      <c r="I26" s="10">
        <f>I22+SUM('2022'!J12:$O12)</f>
        <v>2329.1559999999999</v>
      </c>
      <c r="J26" s="10">
        <f>J22+SUM('2022'!K12:$O12)</f>
        <v>2331.4059999999999</v>
      </c>
      <c r="K26" s="10">
        <f>K22+SUM('2022'!L12:$O12)</f>
        <v>2336.9960000000001</v>
      </c>
      <c r="L26" s="10">
        <f>L22+SUM('2022'!M12:$O12)</f>
        <v>2288.5039999999999</v>
      </c>
      <c r="M26" s="10">
        <f>M22+SUM('2022'!N12:$O12)</f>
        <v>2378.6779999999999</v>
      </c>
      <c r="N26" s="10">
        <f>N22+SUM('2022'!O12:$O12)</f>
        <v>2472.4760000000001</v>
      </c>
      <c r="O26" s="10">
        <f>O22</f>
        <v>2579.7730000000001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0.47971965953721935</v>
      </c>
      <c r="E28" s="51">
        <f t="shared" si="14"/>
        <v>0.44447429235046387</v>
      </c>
      <c r="F28" s="51">
        <f t="shared" si="14"/>
        <v>0.4334212206483955</v>
      </c>
      <c r="G28" s="51">
        <f t="shared" si="14"/>
        <v>0.28732546651007612</v>
      </c>
      <c r="H28" s="51">
        <f t="shared" si="14"/>
        <v>0.13032884386631377</v>
      </c>
      <c r="I28" s="51">
        <f t="shared" si="14"/>
        <v>4.1470339494986165E-2</v>
      </c>
      <c r="J28" s="51">
        <f t="shared" si="14"/>
        <v>2.4262919430035133E-2</v>
      </c>
      <c r="K28" s="51">
        <f t="shared" si="14"/>
        <v>2.2158553254126492E-2</v>
      </c>
      <c r="L28" s="51">
        <f t="shared" si="14"/>
        <v>9.193684944469363E-2</v>
      </c>
      <c r="M28" s="51">
        <f t="shared" si="14"/>
        <v>0.37528953101708534</v>
      </c>
      <c r="N28" s="51">
        <f t="shared" si="14"/>
        <v>0.45348170269245358</v>
      </c>
      <c r="O28" s="51">
        <f t="shared" si="14"/>
        <v>0.55670812951316095</v>
      </c>
      <c r="P28" s="51">
        <f t="shared" si="14"/>
        <v>0.35138631088188321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102</v>
      </c>
      <c r="D29" s="4">
        <f t="shared" ref="D29:H29" si="15">D16/D13</f>
        <v>0.70594406779661012</v>
      </c>
      <c r="E29" s="4">
        <f t="shared" si="15"/>
        <v>0.67903405017921137</v>
      </c>
      <c r="F29" s="4">
        <f t="shared" si="15"/>
        <v>0.6150654362416107</v>
      </c>
      <c r="G29" s="4">
        <f t="shared" si="15"/>
        <v>0.47279141104294514</v>
      </c>
      <c r="H29" s="4">
        <f t="shared" si="15"/>
        <v>0.55680327868852508</v>
      </c>
      <c r="I29" s="52"/>
      <c r="J29" s="52"/>
      <c r="K29" s="52"/>
      <c r="L29" s="4">
        <f t="shared" ref="L29:P29" si="16">L16/L13</f>
        <v>1.506336000000003</v>
      </c>
      <c r="M29" s="4">
        <f t="shared" si="16"/>
        <v>0.55507140142517841</v>
      </c>
      <c r="N29" s="4">
        <f t="shared" si="16"/>
        <v>0.70454750902527075</v>
      </c>
      <c r="O29" s="4">
        <f t="shared" si="16"/>
        <v>0.85116863128491616</v>
      </c>
      <c r="P29" s="4">
        <f t="shared" si="16"/>
        <v>0.68167777096566695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13.435709677419354</v>
      </c>
      <c r="E30" s="4">
        <f t="shared" si="17"/>
        <v>13.53217857142857</v>
      </c>
      <c r="F30" s="4">
        <f t="shared" si="17"/>
        <v>11.825129032258063</v>
      </c>
      <c r="G30" s="4">
        <f t="shared" si="17"/>
        <v>5.1376666666666706</v>
      </c>
      <c r="H30" s="4">
        <f t="shared" si="17"/>
        <v>2.191290322580647</v>
      </c>
      <c r="I30" s="4">
        <f t="shared" si="17"/>
        <v>0.45766666666666728</v>
      </c>
      <c r="J30" s="4">
        <f t="shared" si="17"/>
        <v>0.23838709677419678</v>
      </c>
      <c r="K30" s="4">
        <f t="shared" si="17"/>
        <v>0.27193548387096395</v>
      </c>
      <c r="L30" s="4">
        <f t="shared" si="17"/>
        <v>1.230666666666669</v>
      </c>
      <c r="M30" s="4">
        <f t="shared" si="17"/>
        <v>7.3904193548387127</v>
      </c>
      <c r="N30" s="4">
        <f t="shared" si="17"/>
        <v>12.755533333333334</v>
      </c>
      <c r="O30" s="4">
        <f t="shared" si="17"/>
        <v>19.273774193548388</v>
      </c>
      <c r="P30" s="4">
        <f t="shared" si="17"/>
        <v>7.2870493150684936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15.781265773646799</v>
      </c>
      <c r="E31" s="4">
        <f t="shared" si="18"/>
        <v>15.545029505888376</v>
      </c>
      <c r="F31" s="4">
        <f t="shared" si="18"/>
        <v>11.66640246806668</v>
      </c>
      <c r="G31" s="4">
        <f t="shared" si="18"/>
        <v>5.9729314928425392</v>
      </c>
      <c r="H31" s="4">
        <f t="shared" si="18"/>
        <v>2.7660549973558988</v>
      </c>
      <c r="I31" s="4">
        <f t="shared" si="18"/>
        <v>0.45766666666666728</v>
      </c>
      <c r="J31" s="4">
        <f t="shared" si="18"/>
        <v>0.23838709677419678</v>
      </c>
      <c r="K31" s="4">
        <f t="shared" si="18"/>
        <v>0.27193548387096395</v>
      </c>
      <c r="L31" s="4">
        <f t="shared" si="18"/>
        <v>8.2848480000000162</v>
      </c>
      <c r="M31" s="4">
        <f t="shared" si="18"/>
        <v>6.7682899915715291</v>
      </c>
      <c r="N31" s="4">
        <f t="shared" si="18"/>
        <v>11.601548981949458</v>
      </c>
      <c r="O31" s="4">
        <f t="shared" si="18"/>
        <v>16.995915573076228</v>
      </c>
      <c r="P31" s="4">
        <f t="shared" si="18"/>
        <v>7.9833054063667577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103</v>
      </c>
      <c r="D32" s="4">
        <f t="shared" ref="D32:P32" si="19">D16/$F$4</f>
        <v>1.7216724537037034</v>
      </c>
      <c r="E32" s="4">
        <f t="shared" si="19"/>
        <v>1.5662243716931215</v>
      </c>
      <c r="F32" s="4">
        <f t="shared" si="19"/>
        <v>1.5152901785714283</v>
      </c>
      <c r="G32" s="4">
        <f t="shared" si="19"/>
        <v>0.63711144179894219</v>
      </c>
      <c r="H32" s="4">
        <f t="shared" si="19"/>
        <v>0.28079530423280447</v>
      </c>
      <c r="I32" s="4">
        <f t="shared" si="19"/>
        <v>5.6754298941799015E-2</v>
      </c>
      <c r="J32" s="4">
        <f t="shared" si="19"/>
        <v>3.0547288359788771E-2</v>
      </c>
      <c r="K32" s="4">
        <f t="shared" si="19"/>
        <v>3.4846230158729674E-2</v>
      </c>
      <c r="L32" s="4">
        <f t="shared" si="19"/>
        <v>0.15261243386243414</v>
      </c>
      <c r="M32" s="4">
        <f t="shared" si="19"/>
        <v>0.94701967592592629</v>
      </c>
      <c r="N32" s="4">
        <f t="shared" si="19"/>
        <v>1.5817873677248675</v>
      </c>
      <c r="O32" s="4">
        <f t="shared" si="19"/>
        <v>2.4697709986772485</v>
      </c>
      <c r="P32" s="4">
        <f t="shared" si="19"/>
        <v>10.994432043650793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104</v>
      </c>
      <c r="D33" s="4">
        <f t="shared" ref="D33:P33" si="20">D16/$F$3</f>
        <v>4.3386145833333325</v>
      </c>
      <c r="E33" s="4">
        <f t="shared" si="20"/>
        <v>3.946885416666666</v>
      </c>
      <c r="F33" s="4">
        <f t="shared" si="20"/>
        <v>3.8185312499999995</v>
      </c>
      <c r="G33" s="4">
        <f t="shared" si="20"/>
        <v>1.6055208333333344</v>
      </c>
      <c r="H33" s="4">
        <f t="shared" si="20"/>
        <v>0.70760416666666737</v>
      </c>
      <c r="I33" s="4">
        <f t="shared" si="20"/>
        <v>0.14302083333333351</v>
      </c>
      <c r="J33" s="4">
        <f t="shared" si="20"/>
        <v>7.6979166666667709E-2</v>
      </c>
      <c r="K33" s="4">
        <f t="shared" si="20"/>
        <v>8.781249999999878E-2</v>
      </c>
      <c r="L33" s="4">
        <f t="shared" si="20"/>
        <v>0.38458333333333411</v>
      </c>
      <c r="M33" s="4">
        <f t="shared" si="20"/>
        <v>2.3864895833333342</v>
      </c>
      <c r="N33" s="4">
        <f t="shared" si="20"/>
        <v>3.9861041666666668</v>
      </c>
      <c r="O33" s="4">
        <f t="shared" si="20"/>
        <v>6.2238229166666663</v>
      </c>
      <c r="P33" s="4">
        <f t="shared" si="20"/>
        <v>27.70596875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105</v>
      </c>
      <c r="D34" s="4">
        <f t="shared" ref="D34:P34" si="21">D17/$F$4</f>
        <v>2.0222356108757058</v>
      </c>
      <c r="E34" s="4">
        <f t="shared" si="21"/>
        <v>1.7991932298481914</v>
      </c>
      <c r="F34" s="4">
        <f t="shared" si="21"/>
        <v>1.4949507130872481</v>
      </c>
      <c r="G34" s="4">
        <f t="shared" si="21"/>
        <v>0.74069090933067205</v>
      </c>
      <c r="H34" s="4">
        <f t="shared" si="21"/>
        <v>0.35444653157255646</v>
      </c>
      <c r="I34" s="4">
        <f t="shared" si="21"/>
        <v>5.6754298941799015E-2</v>
      </c>
      <c r="J34" s="4">
        <f t="shared" si="21"/>
        <v>3.0547288359788771E-2</v>
      </c>
      <c r="K34" s="4">
        <f t="shared" si="21"/>
        <v>3.4846230158729674E-2</v>
      </c>
      <c r="L34" s="4">
        <f t="shared" si="21"/>
        <v>1.0273869047619066</v>
      </c>
      <c r="M34" s="4">
        <f t="shared" si="21"/>
        <v>0.86729906472684104</v>
      </c>
      <c r="N34" s="4">
        <f t="shared" si="21"/>
        <v>1.4386841495473037</v>
      </c>
      <c r="O34" s="4">
        <f t="shared" si="21"/>
        <v>2.1778826999229626</v>
      </c>
      <c r="P34" s="4">
        <f t="shared" si="21"/>
        <v>12.044917631133707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106</v>
      </c>
      <c r="D35" s="4">
        <f t="shared" ref="D35:P35" si="22">D17/$F$3</f>
        <v>5.0960337394067787</v>
      </c>
      <c r="E35" s="4">
        <f t="shared" si="22"/>
        <v>4.5339669392174429</v>
      </c>
      <c r="F35" s="4">
        <f t="shared" si="22"/>
        <v>3.7672757969798654</v>
      </c>
      <c r="G35" s="4">
        <f t="shared" si="22"/>
        <v>1.8665410915132936</v>
      </c>
      <c r="H35" s="4">
        <f t="shared" si="22"/>
        <v>0.89320525956284236</v>
      </c>
      <c r="I35" s="4">
        <f t="shared" si="22"/>
        <v>0.14302083333333351</v>
      </c>
      <c r="J35" s="4">
        <f t="shared" si="22"/>
        <v>7.6979166666667709E-2</v>
      </c>
      <c r="K35" s="4">
        <f t="shared" si="22"/>
        <v>8.781249999999878E-2</v>
      </c>
      <c r="L35" s="4">
        <f t="shared" si="22"/>
        <v>2.5890150000000052</v>
      </c>
      <c r="M35" s="4">
        <f t="shared" si="22"/>
        <v>2.1855936431116398</v>
      </c>
      <c r="N35" s="4">
        <f t="shared" si="22"/>
        <v>3.6254840568592055</v>
      </c>
      <c r="O35" s="4">
        <f t="shared" si="22"/>
        <v>5.4882644038058652</v>
      </c>
      <c r="P35" s="4">
        <f t="shared" si="22"/>
        <v>30.353192430456943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107</v>
      </c>
      <c r="D36" s="4">
        <f t="shared" ref="D36:H36" si="23">1000*D32/D13</f>
        <v>2.9180889045825484</v>
      </c>
      <c r="E36" s="4">
        <f t="shared" si="23"/>
        <v>2.8068537127116873</v>
      </c>
      <c r="F36" s="4">
        <f t="shared" si="23"/>
        <v>2.5424331855225311</v>
      </c>
      <c r="G36" s="4">
        <f t="shared" si="23"/>
        <v>1.9543295760703749</v>
      </c>
      <c r="H36" s="4">
        <f t="shared" si="23"/>
        <v>2.3016008543672499</v>
      </c>
      <c r="I36" s="52"/>
      <c r="J36" s="52"/>
      <c r="K36" s="52"/>
      <c r="L36" s="4">
        <f t="shared" ref="L36:P36" si="24">1000*L32/L13</f>
        <v>6.2265873015873128</v>
      </c>
      <c r="M36" s="4">
        <f t="shared" si="24"/>
        <v>2.2944419701768286</v>
      </c>
      <c r="N36" s="4">
        <f t="shared" si="24"/>
        <v>2.9123160922010194</v>
      </c>
      <c r="O36" s="4">
        <f t="shared" si="24"/>
        <v>3.5183888528642364</v>
      </c>
      <c r="P36" s="4">
        <f t="shared" si="24"/>
        <v>2.8177817913594034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108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8.43</v>
      </c>
      <c r="E47" s="4">
        <v>8.58</v>
      </c>
      <c r="F47" s="4">
        <v>7.89</v>
      </c>
      <c r="G47" s="4">
        <v>6.21</v>
      </c>
      <c r="H47" s="4">
        <v>3.44</v>
      </c>
      <c r="I47" s="4">
        <v>5.1100000000000003</v>
      </c>
      <c r="J47" s="4">
        <v>4.18</v>
      </c>
      <c r="K47" s="4">
        <v>6.49</v>
      </c>
      <c r="L47" s="4">
        <v>3.41</v>
      </c>
      <c r="M47" s="4">
        <v>4.58</v>
      </c>
      <c r="N47" s="4">
        <v>4.49</v>
      </c>
      <c r="O47" s="4">
        <v>9.77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(SUMPRODUCT($D$47:D47,$D$11:D11)+SUMPRODUCT('2022'!E$47:$O47,'2022'!E$11:$O11))/D25</f>
        <v>16.699052242943349</v>
      </c>
      <c r="E49" s="18">
        <f>(SUMPRODUCT($D$47:E47,$D$11:E11)+SUMPRODUCT('2022'!F$47:$O47,'2022'!F$11:$O11))/E25</f>
        <v>16.546804889819114</v>
      </c>
      <c r="F49" s="18">
        <f>(SUMPRODUCT($D$47:F47,$D$11:F11)+SUMPRODUCT('2022'!G$47:$O47,'2022'!G$11:$O11))/(F21+SUM('2022'!G$11:$O11))</f>
        <v>16.330718360034734</v>
      </c>
      <c r="G49" s="18">
        <f>(SUMPRODUCT($D$47:G47,$D$11:G11)+SUMPRODUCT('2022'!H$47:$O47,'2022'!H$11:$O11))/(G21+SUM('2022'!H$11:$O11))</f>
        <v>16.287644863779978</v>
      </c>
      <c r="H49" s="18">
        <f>(SUMPRODUCT($D$47:H47,$D$11:H11)+SUMPRODUCT('2022'!I$47:$O47,'2022'!I$11:$O11))/(H21+SUM('2022'!I$11:$O11))</f>
        <v>15.320345808039193</v>
      </c>
      <c r="I49" s="18">
        <f>(SUMPRODUCT($D$47:I47,$D$11:I11)+SUMPRODUCT('2022'!J$47:$O47,'2022'!J$11:$O11))/(I21+SUM('2022'!J$11:$O11))</f>
        <v>14.786286363306361</v>
      </c>
      <c r="J49" s="18">
        <f>(SUMPRODUCT($D$47:J47,$D$11:J11)+SUMPRODUCT('2022'!K$47:$O47,'2022'!K$11:$O11))/(J21+SUM('2022'!K$11:$O11))</f>
        <v>13.837053787956718</v>
      </c>
      <c r="K49" s="18">
        <f>(SUMPRODUCT($D$47:K47,$D$11:K11)+SUMPRODUCT('2022'!L$47:$O47,'2022'!L$11:$O11))/(K21+SUM('2022'!L$11:$O11))</f>
        <v>12.549321558721163</v>
      </c>
      <c r="L49" s="18">
        <f>(SUMPRODUCT($D$47:L47,$D$11:L11)+SUMPRODUCT('2022'!M$47:$O47,'2022'!M$11:$O11))/(L21+SUM('2022'!M$11:$O11))</f>
        <v>11.191201405403447</v>
      </c>
      <c r="M49" s="18">
        <f>(SUMPRODUCT($D$47:M47,$D$11:M11)+SUMPRODUCT('2022'!N$47:$O47,'2022'!N$11:$O11))/(M21+SUM('2022'!N$11:$O11))</f>
        <v>10.556409935658463</v>
      </c>
      <c r="N49" s="18">
        <f>(SUMPRODUCT($D$47:N47,$D$11:N11)+SUMPRODUCT('2022'!O$47:$O47,'2022'!O$11:$O11))/(N21+SUM('2022'!O$11:$O11))</f>
        <v>8.682985839902889</v>
      </c>
      <c r="O49" s="18">
        <f>(SUMPRODUCT($D$47:O47,$D$11:O11))/(O21)</f>
        <v>6.6458180931834478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600-000000000000}"/>
    <hyperlink ref="R2" r:id="rId2" xr:uid="{00000000-0004-0000-0600-000001000000}"/>
    <hyperlink ref="R3" r:id="rId3" location="!/" xr:uid="{00000000-0004-0000-06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109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10.254456521739129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110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2022</v>
      </c>
      <c r="B8" s="25" t="s">
        <v>27</v>
      </c>
      <c r="C8" s="26" t="s">
        <v>111</v>
      </c>
      <c r="D8" s="27">
        <v>-3.6</v>
      </c>
      <c r="E8" s="27">
        <v>-2.5</v>
      </c>
      <c r="F8" s="27">
        <v>-0.3</v>
      </c>
      <c r="G8" s="27">
        <v>3.1</v>
      </c>
      <c r="H8" s="27">
        <v>9.8000000000000007</v>
      </c>
      <c r="I8" s="27">
        <v>16.8</v>
      </c>
      <c r="J8" s="27">
        <v>17.2</v>
      </c>
      <c r="K8" s="27">
        <v>17.899999999999999</v>
      </c>
      <c r="L8" s="27">
        <v>8.1999999999999993</v>
      </c>
      <c r="M8" s="27">
        <v>6.8</v>
      </c>
      <c r="N8" s="27">
        <v>1.7</v>
      </c>
      <c r="O8" s="28">
        <v>-4.2</v>
      </c>
      <c r="P8" s="27">
        <f>AVERAGE(D8:O8)</f>
        <v>5.9083333333333323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2022</v>
      </c>
      <c r="B9" s="25" t="s">
        <v>29</v>
      </c>
      <c r="C9" s="30" t="s">
        <v>30</v>
      </c>
      <c r="D9" s="31">
        <v>621.32000000000005</v>
      </c>
      <c r="E9" s="31">
        <v>515.49</v>
      </c>
      <c r="F9" s="31">
        <v>454.9</v>
      </c>
      <c r="G9" s="31">
        <v>365.82</v>
      </c>
      <c r="H9" s="31">
        <v>241.05</v>
      </c>
      <c r="I9" s="31">
        <v>163.69</v>
      </c>
      <c r="J9" s="31">
        <v>193.72</v>
      </c>
      <c r="K9" s="31">
        <v>160.91</v>
      </c>
      <c r="L9" s="31">
        <v>230.39</v>
      </c>
      <c r="M9" s="31">
        <v>311.61</v>
      </c>
      <c r="N9" s="31">
        <v>367.67</v>
      </c>
      <c r="O9" s="32">
        <v>554.02</v>
      </c>
      <c r="P9" s="31">
        <f t="shared" ref="P9:P17" si="0">SUM(D9:O9)</f>
        <v>4180.59</v>
      </c>
      <c r="Q9" s="2"/>
      <c r="R9" s="33">
        <f t="shared" ref="R9:R12" si="1">P9/$P$11</f>
        <v>0.54133787405959055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2022</v>
      </c>
      <c r="B10" s="25" t="s">
        <v>31</v>
      </c>
      <c r="C10" s="30" t="s">
        <v>30</v>
      </c>
      <c r="D10" s="31">
        <v>502.19</v>
      </c>
      <c r="E10" s="31">
        <v>427.44</v>
      </c>
      <c r="F10" s="31">
        <v>455.49</v>
      </c>
      <c r="G10" s="31">
        <v>368</v>
      </c>
      <c r="H10" s="31">
        <v>259.08999999999997</v>
      </c>
      <c r="I10" s="31">
        <v>140.99</v>
      </c>
      <c r="J10" s="31">
        <v>176.73</v>
      </c>
      <c r="K10" s="31">
        <v>107.37</v>
      </c>
      <c r="L10" s="31">
        <v>201.91</v>
      </c>
      <c r="M10" s="31">
        <v>234.27</v>
      </c>
      <c r="N10" s="66">
        <v>288.02999999999997</v>
      </c>
      <c r="O10" s="37">
        <v>380.6</v>
      </c>
      <c r="P10" s="38">
        <f t="shared" si="0"/>
        <v>3542.1099999999992</v>
      </c>
      <c r="Q10" s="39"/>
      <c r="R10" s="33">
        <f t="shared" si="1"/>
        <v>0.45866212594040934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2022</v>
      </c>
      <c r="B11" s="25" t="s">
        <v>32</v>
      </c>
      <c r="C11" s="30" t="s">
        <v>30</v>
      </c>
      <c r="D11" s="31">
        <f t="shared" ref="D11:O11" si="2">SUM(D9:D10)</f>
        <v>1123.51</v>
      </c>
      <c r="E11" s="31">
        <f t="shared" si="2"/>
        <v>942.93000000000006</v>
      </c>
      <c r="F11" s="31">
        <f t="shared" si="2"/>
        <v>910.39</v>
      </c>
      <c r="G11" s="31">
        <f t="shared" si="2"/>
        <v>733.81999999999994</v>
      </c>
      <c r="H11" s="31">
        <f t="shared" si="2"/>
        <v>500.14</v>
      </c>
      <c r="I11" s="31">
        <f t="shared" si="2"/>
        <v>304.68</v>
      </c>
      <c r="J11" s="31">
        <f t="shared" si="2"/>
        <v>370.45</v>
      </c>
      <c r="K11" s="31">
        <f t="shared" si="2"/>
        <v>268.27999999999997</v>
      </c>
      <c r="L11" s="31">
        <f t="shared" si="2"/>
        <v>432.29999999999995</v>
      </c>
      <c r="M11" s="31">
        <f t="shared" si="2"/>
        <v>545.88</v>
      </c>
      <c r="N11" s="31">
        <f t="shared" si="2"/>
        <v>655.7</v>
      </c>
      <c r="O11" s="31">
        <f t="shared" si="2"/>
        <v>934.62</v>
      </c>
      <c r="P11" s="40">
        <f t="shared" si="0"/>
        <v>7722.7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2022</v>
      </c>
      <c r="B12" s="25" t="s">
        <v>33</v>
      </c>
      <c r="C12" s="30" t="s">
        <v>30</v>
      </c>
      <c r="D12" s="31">
        <f>(1793.34-1256.21)</f>
        <v>537.12999999999988</v>
      </c>
      <c r="E12" s="31">
        <f>(2228.42-1793.34)</f>
        <v>435.08000000000015</v>
      </c>
      <c r="F12" s="31">
        <f>(2586.19-2228.42)</f>
        <v>357.77</v>
      </c>
      <c r="G12" s="31">
        <f>(2815.96-2586.19)</f>
        <v>229.76999999999998</v>
      </c>
      <c r="H12" s="31">
        <f>(2900.42-2815.96)</f>
        <v>84.460000000000036</v>
      </c>
      <c r="I12" s="31">
        <f>(2910.53-2900.42)</f>
        <v>10.110000000000127</v>
      </c>
      <c r="J12" s="31">
        <f>2929.64-2927.41+2936.31-2933.4</f>
        <v>5.1399999999998727</v>
      </c>
      <c r="K12" s="31">
        <f>1.94+0.9</f>
        <v>2.84</v>
      </c>
      <c r="L12" s="31">
        <f>(94.524-9.112)</f>
        <v>85.412000000000006</v>
      </c>
      <c r="M12" s="31">
        <f>(233.453-94.524)</f>
        <v>138.929</v>
      </c>
      <c r="N12" s="31">
        <f>(492.321-233.453)</f>
        <v>258.86800000000005</v>
      </c>
      <c r="O12" s="31">
        <f>(932.511-492.321)</f>
        <v>440.18999999999994</v>
      </c>
      <c r="P12" s="31">
        <f t="shared" si="0"/>
        <v>2585.6990000000001</v>
      </c>
      <c r="Q12" s="39"/>
      <c r="R12" s="33">
        <f t="shared" si="1"/>
        <v>0.33481800406593548</v>
      </c>
      <c r="S12" s="34"/>
      <c r="T12" s="29"/>
      <c r="U12" s="11"/>
      <c r="V12" s="2"/>
      <c r="W12" s="39" t="s">
        <v>34</v>
      </c>
      <c r="X12" s="11">
        <f>P12+'2021'!X12</f>
        <v>30722.688714285716</v>
      </c>
      <c r="Y12" s="2" t="s">
        <v>30</v>
      </c>
      <c r="Z12" s="11">
        <f>X12*1000/400</f>
        <v>76806.721785714297</v>
      </c>
      <c r="AA12" s="2" t="s">
        <v>35</v>
      </c>
    </row>
    <row r="13" spans="1:27" ht="12.75" customHeight="1" x14ac:dyDescent="0.25">
      <c r="A13" s="24">
        <v>2022</v>
      </c>
      <c r="B13" s="41" t="s">
        <v>36</v>
      </c>
      <c r="C13" s="26" t="s">
        <v>112</v>
      </c>
      <c r="D13" s="31">
        <f>668/1.02</f>
        <v>654.9019607843137</v>
      </c>
      <c r="E13" s="31">
        <f>558/1.02</f>
        <v>547.05882352941171</v>
      </c>
      <c r="F13" s="31">
        <f>548/1.02</f>
        <v>537.25490196078431</v>
      </c>
      <c r="G13" s="31">
        <f>425/1.02</f>
        <v>416.66666666666669</v>
      </c>
      <c r="H13" s="31">
        <f>160/1.02</f>
        <v>156.86274509803923</v>
      </c>
      <c r="I13" s="31">
        <v>0</v>
      </c>
      <c r="J13" s="31">
        <v>0</v>
      </c>
      <c r="K13" s="31">
        <f>7/1.02</f>
        <v>6.8627450980392153</v>
      </c>
      <c r="L13" s="31">
        <f>228/1.02</f>
        <v>223.52941176470588</v>
      </c>
      <c r="M13" s="31">
        <f>321/1.02</f>
        <v>314.70588235294116</v>
      </c>
      <c r="N13" s="31">
        <f>470/1.02</f>
        <v>460.78431372549016</v>
      </c>
      <c r="O13" s="42">
        <f>654/1.02</f>
        <v>641.17647058823525</v>
      </c>
      <c r="P13" s="31">
        <f t="shared" si="0"/>
        <v>3959.8039215686276</v>
      </c>
      <c r="Q13" s="36"/>
      <c r="R13" s="33">
        <f>(P13-P14)/P14</f>
        <v>-8.0398531916249974E-2</v>
      </c>
      <c r="S13" s="2"/>
      <c r="T13" s="29"/>
      <c r="U13" s="29"/>
      <c r="V13" s="2"/>
      <c r="W13" s="36" t="s">
        <v>38</v>
      </c>
      <c r="X13" s="43">
        <f>X12*2.6-X12</f>
        <v>49156.301942857142</v>
      </c>
      <c r="Y13" s="2" t="s">
        <v>30</v>
      </c>
      <c r="Z13" s="2"/>
      <c r="AA13" s="2"/>
    </row>
    <row r="14" spans="1:27" ht="12.75" customHeight="1" x14ac:dyDescent="0.25">
      <c r="A14" s="24">
        <v>2022</v>
      </c>
      <c r="B14" s="41" t="s">
        <v>39</v>
      </c>
      <c r="C14" s="26" t="s">
        <v>113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2022</v>
      </c>
      <c r="B15" s="25" t="s">
        <v>41</v>
      </c>
      <c r="C15" s="30" t="s">
        <v>30</v>
      </c>
      <c r="D15" s="31">
        <v>196</v>
      </c>
      <c r="E15" s="31">
        <v>165</v>
      </c>
      <c r="F15" s="31">
        <v>208</v>
      </c>
      <c r="G15" s="31">
        <v>195</v>
      </c>
      <c r="H15" s="31">
        <v>160</v>
      </c>
      <c r="I15" s="31">
        <v>116</v>
      </c>
      <c r="J15" s="31">
        <v>130</v>
      </c>
      <c r="K15" s="31">
        <v>100</v>
      </c>
      <c r="L15" s="31">
        <v>142</v>
      </c>
      <c r="M15" s="31">
        <v>161</v>
      </c>
      <c r="N15" s="31">
        <v>142</v>
      </c>
      <c r="O15" s="42">
        <v>144.5</v>
      </c>
      <c r="P15" s="31">
        <f t="shared" si="0"/>
        <v>1859.5</v>
      </c>
      <c r="Q15" s="2"/>
      <c r="R15" s="33">
        <f>P15/$P$11</f>
        <v>0.2407836637445453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2022</v>
      </c>
      <c r="B16" s="25" t="s">
        <v>42</v>
      </c>
      <c r="C16" s="30" t="s">
        <v>30</v>
      </c>
      <c r="D16" s="31">
        <f t="shared" ref="D16:O16" si="3">D12</f>
        <v>537.12999999999988</v>
      </c>
      <c r="E16" s="31">
        <f t="shared" si="3"/>
        <v>435.08000000000015</v>
      </c>
      <c r="F16" s="31">
        <f t="shared" si="3"/>
        <v>357.77</v>
      </c>
      <c r="G16" s="31">
        <f t="shared" si="3"/>
        <v>229.76999999999998</v>
      </c>
      <c r="H16" s="31">
        <f t="shared" si="3"/>
        <v>84.460000000000036</v>
      </c>
      <c r="I16" s="31">
        <f t="shared" si="3"/>
        <v>10.110000000000127</v>
      </c>
      <c r="J16" s="31">
        <f t="shared" si="3"/>
        <v>5.1399999999998727</v>
      </c>
      <c r="K16" s="31">
        <f t="shared" si="3"/>
        <v>2.84</v>
      </c>
      <c r="L16" s="31">
        <f t="shared" si="3"/>
        <v>85.412000000000006</v>
      </c>
      <c r="M16" s="31">
        <f t="shared" si="3"/>
        <v>138.929</v>
      </c>
      <c r="N16" s="31">
        <f t="shared" si="3"/>
        <v>258.86800000000005</v>
      </c>
      <c r="O16" s="31">
        <f t="shared" si="3"/>
        <v>440.18999999999994</v>
      </c>
      <c r="P16" s="31">
        <f t="shared" si="0"/>
        <v>2585.6990000000001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2022</v>
      </c>
      <c r="B17" s="25" t="s">
        <v>43</v>
      </c>
      <c r="C17" s="30" t="s">
        <v>30</v>
      </c>
      <c r="D17" s="31">
        <f t="shared" ref="D17:H17" si="4">IF(D16&lt;0,0,((D14/D13))*D16)</f>
        <v>583.96001676646699</v>
      </c>
      <c r="E17" s="31">
        <f t="shared" si="4"/>
        <v>528.08419784946261</v>
      </c>
      <c r="F17" s="31">
        <f t="shared" si="4"/>
        <v>398.22151313868608</v>
      </c>
      <c r="G17" s="31">
        <f t="shared" si="4"/>
        <v>213.41037599999999</v>
      </c>
      <c r="H17" s="31">
        <f t="shared" si="4"/>
        <v>83.995470000000026</v>
      </c>
      <c r="I17" s="46">
        <f t="shared" ref="I17:K17" si="5">I16</f>
        <v>10.110000000000127</v>
      </c>
      <c r="J17" s="46">
        <f t="shared" si="5"/>
        <v>5.1399999999998727</v>
      </c>
      <c r="K17" s="46">
        <f t="shared" si="5"/>
        <v>2.84</v>
      </c>
      <c r="L17" s="31">
        <f t="shared" ref="L17:O17" si="6">IF(L16&lt;0,0,((L14/L13))*L16)</f>
        <v>71.453881052631587</v>
      </c>
      <c r="M17" s="31">
        <f t="shared" si="6"/>
        <v>165.54623831775703</v>
      </c>
      <c r="N17" s="31">
        <f t="shared" si="6"/>
        <v>291.01169463829797</v>
      </c>
      <c r="O17" s="42">
        <f t="shared" si="6"/>
        <v>449.68033486238528</v>
      </c>
      <c r="P17" s="40">
        <f t="shared" si="0"/>
        <v>2803.453722625688</v>
      </c>
      <c r="Q17" s="47"/>
      <c r="R17" s="39">
        <f>(P14-P13)/P14</f>
        <v>8.0398531916249974E-2</v>
      </c>
      <c r="S17" s="39"/>
      <c r="T17" s="29"/>
      <c r="U17" s="67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36.242258064516129</v>
      </c>
      <c r="E20" s="4">
        <f t="shared" si="7"/>
        <v>33.676071428571433</v>
      </c>
      <c r="F20" s="4">
        <f t="shared" si="7"/>
        <v>29.367419354838709</v>
      </c>
      <c r="G20" s="4">
        <f t="shared" si="7"/>
        <v>24.460666666666665</v>
      </c>
      <c r="H20" s="4">
        <f t="shared" si="7"/>
        <v>16.133548387096774</v>
      </c>
      <c r="I20" s="4">
        <f t="shared" si="7"/>
        <v>10.156000000000001</v>
      </c>
      <c r="J20" s="4">
        <f t="shared" si="7"/>
        <v>11.95</v>
      </c>
      <c r="K20" s="4">
        <f t="shared" si="7"/>
        <v>8.6541935483870951</v>
      </c>
      <c r="L20" s="4">
        <f t="shared" si="7"/>
        <v>14.409999999999998</v>
      </c>
      <c r="M20" s="4">
        <f t="shared" si="7"/>
        <v>17.609032258064516</v>
      </c>
      <c r="N20" s="4">
        <f t="shared" si="7"/>
        <v>21.856666666666669</v>
      </c>
      <c r="O20" s="4">
        <f t="shared" si="7"/>
        <v>30.149032258064516</v>
      </c>
      <c r="P20" s="4">
        <f>P11/365</f>
        <v>21.158082191780821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8">SUM(D11)</f>
        <v>1123.51</v>
      </c>
      <c r="E21" s="4">
        <f t="shared" ref="E21:O21" si="9">SUM($D$11:E11)</f>
        <v>2066.44</v>
      </c>
      <c r="F21" s="4">
        <f t="shared" si="9"/>
        <v>2976.83</v>
      </c>
      <c r="G21" s="4">
        <f t="shared" si="9"/>
        <v>3710.6499999999996</v>
      </c>
      <c r="H21" s="4">
        <f t="shared" si="9"/>
        <v>4210.79</v>
      </c>
      <c r="I21" s="4">
        <f t="shared" si="9"/>
        <v>4515.47</v>
      </c>
      <c r="J21" s="4">
        <f t="shared" si="9"/>
        <v>4885.92</v>
      </c>
      <c r="K21" s="4">
        <f t="shared" si="9"/>
        <v>5154.2</v>
      </c>
      <c r="L21" s="4">
        <f t="shared" si="9"/>
        <v>5586.5</v>
      </c>
      <c r="M21" s="4">
        <f t="shared" si="9"/>
        <v>6132.38</v>
      </c>
      <c r="N21" s="4">
        <f t="shared" si="9"/>
        <v>6788.08</v>
      </c>
      <c r="O21" s="4">
        <f t="shared" si="9"/>
        <v>7722.7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8"/>
        <v>537.12999999999988</v>
      </c>
      <c r="E22" s="4">
        <f t="shared" ref="E22:O22" si="10">SUM($D$12:E12)</f>
        <v>972.21</v>
      </c>
      <c r="F22" s="4">
        <f t="shared" si="10"/>
        <v>1329.98</v>
      </c>
      <c r="G22" s="4">
        <f t="shared" si="10"/>
        <v>1559.75</v>
      </c>
      <c r="H22" s="4">
        <f t="shared" si="10"/>
        <v>1644.21</v>
      </c>
      <c r="I22" s="4">
        <f t="shared" si="10"/>
        <v>1654.3200000000002</v>
      </c>
      <c r="J22" s="4">
        <f t="shared" si="10"/>
        <v>1659.46</v>
      </c>
      <c r="K22" s="4">
        <f t="shared" si="10"/>
        <v>1662.3</v>
      </c>
      <c r="L22" s="4">
        <f t="shared" si="10"/>
        <v>1747.712</v>
      </c>
      <c r="M22" s="4">
        <f t="shared" si="10"/>
        <v>1886.6410000000001</v>
      </c>
      <c r="N22" s="4">
        <f t="shared" si="10"/>
        <v>2145.509</v>
      </c>
      <c r="O22" s="4">
        <f t="shared" si="10"/>
        <v>2585.6990000000001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537.12999999999988</v>
      </c>
      <c r="E23" s="4">
        <f t="shared" ref="E23:O23" si="11">SUM($D$16:E16)</f>
        <v>972.21</v>
      </c>
      <c r="F23" s="4">
        <f t="shared" si="11"/>
        <v>1329.98</v>
      </c>
      <c r="G23" s="4">
        <f t="shared" si="11"/>
        <v>1559.75</v>
      </c>
      <c r="H23" s="4">
        <f t="shared" si="11"/>
        <v>1644.21</v>
      </c>
      <c r="I23" s="4">
        <f t="shared" si="11"/>
        <v>1654.3200000000002</v>
      </c>
      <c r="J23" s="4">
        <f t="shared" si="11"/>
        <v>1659.46</v>
      </c>
      <c r="K23" s="4">
        <f t="shared" si="11"/>
        <v>1662.3</v>
      </c>
      <c r="L23" s="4">
        <f t="shared" si="11"/>
        <v>1747.712</v>
      </c>
      <c r="M23" s="4">
        <f t="shared" si="11"/>
        <v>1886.6410000000001</v>
      </c>
      <c r="N23" s="4">
        <f t="shared" si="11"/>
        <v>2145.509</v>
      </c>
      <c r="O23" s="4">
        <f t="shared" si="11"/>
        <v>2585.6990000000001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8" t="s">
        <v>30</v>
      </c>
      <c r="D24" s="4">
        <f t="shared" ref="D24:O24" si="12">(D11-D12-D15)/D7</f>
        <v>12.592903225806456</v>
      </c>
      <c r="E24" s="4">
        <f t="shared" si="12"/>
        <v>12.244642857142853</v>
      </c>
      <c r="F24" s="4">
        <f t="shared" si="12"/>
        <v>11.116774193548387</v>
      </c>
      <c r="G24" s="4">
        <f t="shared" si="12"/>
        <v>10.301666666666666</v>
      </c>
      <c r="H24" s="4">
        <f t="shared" si="12"/>
        <v>8.2477419354838695</v>
      </c>
      <c r="I24" s="4">
        <f t="shared" si="12"/>
        <v>5.9523333333333293</v>
      </c>
      <c r="J24" s="4">
        <f t="shared" si="12"/>
        <v>7.5906451612903263</v>
      </c>
      <c r="K24" s="4">
        <f t="shared" si="12"/>
        <v>5.3367741935483872</v>
      </c>
      <c r="L24" s="4">
        <f t="shared" si="12"/>
        <v>6.8295999999999975</v>
      </c>
      <c r="M24" s="4">
        <f t="shared" si="12"/>
        <v>7.9339032258064526</v>
      </c>
      <c r="N24" s="4">
        <f t="shared" si="12"/>
        <v>8.4944000000000006</v>
      </c>
      <c r="O24" s="4">
        <f t="shared" si="12"/>
        <v>11.288064516129035</v>
      </c>
      <c r="P24" s="10">
        <f>P11-P12-P15-42</f>
        <v>3235.5010000000002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D21+'2021'!$P$11-'2021'!D21</f>
        <v>8946.51</v>
      </c>
      <c r="E25" s="10">
        <f>E21+'2021'!$P$11-'2021'!E21</f>
        <v>8744.2800000000007</v>
      </c>
      <c r="F25" s="10">
        <f>F21+'2021'!$P$11-'2021'!F21</f>
        <v>8657.59</v>
      </c>
      <c r="G25" s="10">
        <f>G21+'2021'!$P$11-'2021'!G21</f>
        <v>8649.0299999999988</v>
      </c>
      <c r="H25" s="10">
        <f>H21+'2021'!$P$11-'2021'!H21</f>
        <v>8571.16</v>
      </c>
      <c r="I25" s="10">
        <f>I21+'2021'!$P$11-'2021'!I21</f>
        <v>8520.0600000000013</v>
      </c>
      <c r="J25" s="10">
        <f>J21+'2021'!$P$11-'2021'!J21</f>
        <v>8583.5</v>
      </c>
      <c r="K25" s="10">
        <f>K21+'2021'!$P$11-'2021'!K21</f>
        <v>8429.5300000000007</v>
      </c>
      <c r="L25" s="10">
        <f>L21+'2021'!$P$11-'2021'!L21</f>
        <v>8324.66</v>
      </c>
      <c r="M25" s="10">
        <f>M21+'2021'!$P$11-'2021'!M21</f>
        <v>8255.3700000000008</v>
      </c>
      <c r="N25" s="10">
        <f>N21+'2021'!$P$11-'2021'!N21</f>
        <v>8087.62</v>
      </c>
      <c r="O25" s="10">
        <f>O21+'2021'!$P$11-'2021'!O21</f>
        <v>7722.7000000000007</v>
      </c>
      <c r="P25" s="4"/>
      <c r="Q25" s="2"/>
      <c r="R25" s="36"/>
      <c r="S25" s="2"/>
      <c r="T25" s="29"/>
      <c r="U25" s="68"/>
      <c r="V25" s="11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D22+SUM('2021'!E12:$O12)</f>
        <v>3085.6489999999994</v>
      </c>
      <c r="E26" s="10">
        <f>E22+SUM('2021'!F12:$O12)</f>
        <v>2892.3789999999999</v>
      </c>
      <c r="F26" s="10">
        <f>F22+SUM('2021'!G12:$O12)</f>
        <v>2871.529</v>
      </c>
      <c r="G26" s="10">
        <f>G22+SUM('2021'!H12:$O12)</f>
        <v>2909.9989999999998</v>
      </c>
      <c r="H26" s="10">
        <f>H22+SUM('2021'!I12:$O12)</f>
        <v>2908.8389999999999</v>
      </c>
      <c r="I26" s="10">
        <f>I22+SUM('2021'!J12:$O12)</f>
        <v>2917.1690000000003</v>
      </c>
      <c r="J26" s="10">
        <f>J22+SUM('2021'!K12:$O12)</f>
        <v>2920.6959999999999</v>
      </c>
      <c r="K26" s="10">
        <f>K22+SUM('2021'!L12:$O12)</f>
        <v>2885.7250000000004</v>
      </c>
      <c r="L26" s="10">
        <f>L22+SUM('2021'!M12:$O12)</f>
        <v>2862.951</v>
      </c>
      <c r="M26" s="10">
        <f>M22+SUM('2021'!N12:$O12)</f>
        <v>2855.971</v>
      </c>
      <c r="N26" s="10">
        <f>N22+SUM('2021'!O12:$O12)</f>
        <v>2804.4670000000001</v>
      </c>
      <c r="O26" s="10">
        <f>O22</f>
        <v>2585.6990000000001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45"/>
      <c r="E27" s="45"/>
      <c r="F27" s="45"/>
      <c r="G27" s="45"/>
      <c r="H27" s="4"/>
      <c r="I27" s="4"/>
      <c r="J27" s="4"/>
      <c r="K27" s="4"/>
      <c r="L27" s="4"/>
      <c r="M27" s="4"/>
      <c r="N27" s="4"/>
      <c r="O27" s="4"/>
      <c r="P27" s="4"/>
      <c r="Q27" s="43"/>
      <c r="R27" s="43"/>
      <c r="S27" s="43"/>
      <c r="T27" s="39"/>
      <c r="U27" s="43"/>
      <c r="V27" s="45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3">D16/D11</f>
        <v>0.47808208204644365</v>
      </c>
      <c r="E28" s="51">
        <f t="shared" si="13"/>
        <v>0.46141283022069518</v>
      </c>
      <c r="F28" s="51">
        <f t="shared" si="13"/>
        <v>0.39298542382934787</v>
      </c>
      <c r="G28" s="51">
        <f t="shared" si="13"/>
        <v>0.31311493281731217</v>
      </c>
      <c r="H28" s="51">
        <f t="shared" si="13"/>
        <v>0.16887271563962097</v>
      </c>
      <c r="I28" s="51">
        <f t="shared" si="13"/>
        <v>3.3182355257975998E-2</v>
      </c>
      <c r="J28" s="51">
        <f t="shared" si="13"/>
        <v>1.3875016871372312E-2</v>
      </c>
      <c r="K28" s="51">
        <f t="shared" si="13"/>
        <v>1.0585954972416878E-2</v>
      </c>
      <c r="L28" s="51">
        <f t="shared" si="13"/>
        <v>0.1975757575757576</v>
      </c>
      <c r="M28" s="51">
        <f t="shared" si="13"/>
        <v>0.25450465303729758</v>
      </c>
      <c r="N28" s="51">
        <f t="shared" si="13"/>
        <v>0.39479640079304568</v>
      </c>
      <c r="O28" s="51">
        <f t="shared" si="13"/>
        <v>0.47098285934390444</v>
      </c>
      <c r="P28" s="51">
        <f t="shared" si="13"/>
        <v>0.33481800406593548</v>
      </c>
      <c r="Q28" s="43"/>
      <c r="R28" s="43"/>
      <c r="S28" s="43"/>
      <c r="T28" s="43"/>
      <c r="U28" s="45"/>
      <c r="V28" s="39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114</v>
      </c>
      <c r="D29" s="4">
        <f t="shared" ref="D29:H29" si="14">D16/D13</f>
        <v>0.82016856287425133</v>
      </c>
      <c r="E29" s="4">
        <f t="shared" si="14"/>
        <v>0.79530752688172079</v>
      </c>
      <c r="F29" s="4">
        <f t="shared" si="14"/>
        <v>0.66592226277372257</v>
      </c>
      <c r="G29" s="4">
        <f t="shared" si="14"/>
        <v>0.55144799999999994</v>
      </c>
      <c r="H29" s="4">
        <f t="shared" si="14"/>
        <v>0.5384325000000002</v>
      </c>
      <c r="I29" s="52"/>
      <c r="J29" s="52"/>
      <c r="K29" s="52"/>
      <c r="L29" s="4">
        <f t="shared" ref="L29:P29" si="15">L16/L13</f>
        <v>0.38210631578947368</v>
      </c>
      <c r="M29" s="4">
        <f t="shared" si="15"/>
        <v>0.4414566355140187</v>
      </c>
      <c r="N29" s="4">
        <f t="shared" si="15"/>
        <v>0.56179863829787247</v>
      </c>
      <c r="O29" s="4">
        <f t="shared" si="15"/>
        <v>0.68653486238532102</v>
      </c>
      <c r="P29" s="4">
        <f t="shared" si="15"/>
        <v>0.65298662540232733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6">D16/D7</f>
        <v>17.326774193548385</v>
      </c>
      <c r="E30" s="4">
        <f t="shared" si="16"/>
        <v>15.538571428571434</v>
      </c>
      <c r="F30" s="4">
        <f t="shared" si="16"/>
        <v>11.540967741935484</v>
      </c>
      <c r="G30" s="4">
        <f t="shared" si="16"/>
        <v>7.6589999999999998</v>
      </c>
      <c r="H30" s="4">
        <f t="shared" si="16"/>
        <v>2.724516129032259</v>
      </c>
      <c r="I30" s="4">
        <f t="shared" si="16"/>
        <v>0.33700000000000424</v>
      </c>
      <c r="J30" s="4">
        <f t="shared" si="16"/>
        <v>0.16580645161289911</v>
      </c>
      <c r="K30" s="4">
        <f t="shared" si="16"/>
        <v>9.1612903225806452E-2</v>
      </c>
      <c r="L30" s="4">
        <f t="shared" si="16"/>
        <v>2.8470666666666671</v>
      </c>
      <c r="M30" s="4">
        <f t="shared" si="16"/>
        <v>4.4815806451612907</v>
      </c>
      <c r="N30" s="4">
        <f t="shared" si="16"/>
        <v>8.6289333333333342</v>
      </c>
      <c r="O30" s="4">
        <f t="shared" si="16"/>
        <v>14.199677419354837</v>
      </c>
      <c r="P30" s="4">
        <f t="shared" si="16"/>
        <v>7.0841068493150683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7">D17/D7</f>
        <v>18.837419895692484</v>
      </c>
      <c r="E31" s="4">
        <f t="shared" si="17"/>
        <v>18.860149923195092</v>
      </c>
      <c r="F31" s="4">
        <f t="shared" si="17"/>
        <v>12.84585526253826</v>
      </c>
      <c r="G31" s="4">
        <f t="shared" si="17"/>
        <v>7.1136791999999991</v>
      </c>
      <c r="H31" s="4">
        <f t="shared" si="17"/>
        <v>2.7095312903225817</v>
      </c>
      <c r="I31" s="4">
        <f t="shared" si="17"/>
        <v>0.33700000000000424</v>
      </c>
      <c r="J31" s="4">
        <f t="shared" si="17"/>
        <v>0.16580645161289911</v>
      </c>
      <c r="K31" s="4">
        <f t="shared" si="17"/>
        <v>9.1612903225806452E-2</v>
      </c>
      <c r="L31" s="4">
        <f t="shared" si="17"/>
        <v>2.3817960350877194</v>
      </c>
      <c r="M31" s="4">
        <f t="shared" si="17"/>
        <v>5.3402012360566786</v>
      </c>
      <c r="N31" s="4">
        <f t="shared" si="17"/>
        <v>9.7003898212765982</v>
      </c>
      <c r="O31" s="4">
        <f t="shared" si="17"/>
        <v>14.505817253625331</v>
      </c>
      <c r="P31" s="4">
        <f t="shared" si="17"/>
        <v>7.6806951304813369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115</v>
      </c>
      <c r="D32" s="4">
        <f t="shared" ref="D32:P32" si="18">D16/$F$4</f>
        <v>2.2202794312169307</v>
      </c>
      <c r="E32" s="4">
        <f t="shared" si="18"/>
        <v>1.7984457671957677</v>
      </c>
      <c r="F32" s="4">
        <f t="shared" si="18"/>
        <v>1.4788773148148147</v>
      </c>
      <c r="G32" s="4">
        <f t="shared" si="18"/>
        <v>0.94977678571428559</v>
      </c>
      <c r="H32" s="4">
        <f t="shared" si="18"/>
        <v>0.34912367724867738</v>
      </c>
      <c r="I32" s="4">
        <f t="shared" si="18"/>
        <v>4.1790674603175128E-2</v>
      </c>
      <c r="J32" s="4">
        <f t="shared" si="18"/>
        <v>2.1246693121692594E-2</v>
      </c>
      <c r="K32" s="4">
        <f t="shared" si="18"/>
        <v>1.1739417989417989E-2</v>
      </c>
      <c r="L32" s="4">
        <f t="shared" si="18"/>
        <v>0.35305886243386242</v>
      </c>
      <c r="M32" s="4">
        <f t="shared" si="18"/>
        <v>0.57427662037037031</v>
      </c>
      <c r="N32" s="4">
        <f t="shared" si="18"/>
        <v>1.0700562169312171</v>
      </c>
      <c r="O32" s="4">
        <f t="shared" si="18"/>
        <v>1.8195684523809521</v>
      </c>
      <c r="P32" s="4">
        <f t="shared" si="18"/>
        <v>10.688239914021164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116</v>
      </c>
      <c r="D33" s="4">
        <f t="shared" ref="D33:P33" si="19">D16/$F$3</f>
        <v>5.5951041666666654</v>
      </c>
      <c r="E33" s="4">
        <f t="shared" si="19"/>
        <v>4.5320833333333352</v>
      </c>
      <c r="F33" s="4">
        <f t="shared" si="19"/>
        <v>3.7267708333333331</v>
      </c>
      <c r="G33" s="4">
        <f t="shared" si="19"/>
        <v>2.3934374999999997</v>
      </c>
      <c r="H33" s="4">
        <f t="shared" si="19"/>
        <v>0.87979166666666708</v>
      </c>
      <c r="I33" s="4">
        <f t="shared" si="19"/>
        <v>0.10531250000000132</v>
      </c>
      <c r="J33" s="4">
        <f t="shared" si="19"/>
        <v>5.3541666666665343E-2</v>
      </c>
      <c r="K33" s="4">
        <f t="shared" si="19"/>
        <v>2.9583333333333333E-2</v>
      </c>
      <c r="L33" s="4">
        <f t="shared" si="19"/>
        <v>0.88970833333333343</v>
      </c>
      <c r="M33" s="4">
        <f t="shared" si="19"/>
        <v>1.4471770833333333</v>
      </c>
      <c r="N33" s="4">
        <f t="shared" si="19"/>
        <v>2.6965416666666671</v>
      </c>
      <c r="O33" s="4">
        <f t="shared" si="19"/>
        <v>4.5853124999999997</v>
      </c>
      <c r="P33" s="4">
        <f t="shared" si="19"/>
        <v>26.934364583333334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117</v>
      </c>
      <c r="D34" s="4">
        <f t="shared" ref="D34:P34" si="20">D17/$F$4</f>
        <v>2.4138558894116526</v>
      </c>
      <c r="E34" s="4">
        <f t="shared" si="20"/>
        <v>2.1828877225920245</v>
      </c>
      <c r="F34" s="4">
        <f t="shared" si="20"/>
        <v>1.6460876039132195</v>
      </c>
      <c r="G34" s="4">
        <f t="shared" si="20"/>
        <v>0.88215267857142843</v>
      </c>
      <c r="H34" s="4">
        <f t="shared" si="20"/>
        <v>0.34720349702380959</v>
      </c>
      <c r="I34" s="4">
        <f t="shared" si="20"/>
        <v>4.1790674603175128E-2</v>
      </c>
      <c r="J34" s="4">
        <f t="shared" si="20"/>
        <v>2.1246693121692594E-2</v>
      </c>
      <c r="K34" s="4">
        <f t="shared" si="20"/>
        <v>1.1739417989417989E-2</v>
      </c>
      <c r="L34" s="4">
        <f t="shared" si="20"/>
        <v>0.2953616114940128</v>
      </c>
      <c r="M34" s="4">
        <f t="shared" si="20"/>
        <v>0.68430158034787125</v>
      </c>
      <c r="N34" s="4">
        <f t="shared" si="20"/>
        <v>1.2029253250591019</v>
      </c>
      <c r="O34" s="4">
        <f t="shared" si="20"/>
        <v>1.8587976804827433</v>
      </c>
      <c r="P34" s="4">
        <f t="shared" si="20"/>
        <v>11.588350374610151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118</v>
      </c>
      <c r="D35" s="4">
        <f t="shared" ref="D35:P35" si="21">D17/$F$3</f>
        <v>6.0829168413173642</v>
      </c>
      <c r="E35" s="4">
        <f t="shared" si="21"/>
        <v>5.5008770609319022</v>
      </c>
      <c r="F35" s="4">
        <f t="shared" si="21"/>
        <v>4.1481407618613133</v>
      </c>
      <c r="G35" s="4">
        <f t="shared" si="21"/>
        <v>2.22302475</v>
      </c>
      <c r="H35" s="4">
        <f t="shared" si="21"/>
        <v>0.87495281250000023</v>
      </c>
      <c r="I35" s="4">
        <f t="shared" si="21"/>
        <v>0.10531250000000132</v>
      </c>
      <c r="J35" s="4">
        <f t="shared" si="21"/>
        <v>5.3541666666665343E-2</v>
      </c>
      <c r="K35" s="4">
        <f t="shared" si="21"/>
        <v>2.9583333333333333E-2</v>
      </c>
      <c r="L35" s="4">
        <f t="shared" si="21"/>
        <v>0.7443112609649124</v>
      </c>
      <c r="M35" s="4">
        <f t="shared" si="21"/>
        <v>1.7244399824766357</v>
      </c>
      <c r="N35" s="4">
        <f t="shared" si="21"/>
        <v>3.0313718191489372</v>
      </c>
      <c r="O35" s="4">
        <f t="shared" si="21"/>
        <v>4.6841701548165133</v>
      </c>
      <c r="P35" s="4">
        <f t="shared" si="21"/>
        <v>29.202642944017583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119</v>
      </c>
      <c r="D36" s="4">
        <f t="shared" ref="D36:H36" si="22">1000*D32/D13</f>
        <v>3.390247035690523</v>
      </c>
      <c r="E36" s="4">
        <f t="shared" si="22"/>
        <v>3.2874815099277477</v>
      </c>
      <c r="F36" s="4">
        <f t="shared" si="22"/>
        <v>2.7526548560421733</v>
      </c>
      <c r="G36" s="4">
        <f t="shared" si="22"/>
        <v>2.2794642857142851</v>
      </c>
      <c r="H36" s="4">
        <f t="shared" si="22"/>
        <v>2.2256634424603181</v>
      </c>
      <c r="I36" s="52"/>
      <c r="J36" s="52"/>
      <c r="K36" s="52"/>
      <c r="L36" s="4">
        <f t="shared" ref="L36:P36" si="23">1000*L32/L13</f>
        <v>1.5794738582567529</v>
      </c>
      <c r="M36" s="4">
        <f t="shared" si="23"/>
        <v>1.8248042142609899</v>
      </c>
      <c r="N36" s="4">
        <f t="shared" si="23"/>
        <v>2.3222496622762585</v>
      </c>
      <c r="O36" s="4">
        <f t="shared" si="23"/>
        <v>2.8378590541721271</v>
      </c>
      <c r="P36" s="4">
        <f t="shared" si="23"/>
        <v>2.699184132780784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120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13.87</v>
      </c>
      <c r="E47" s="4">
        <v>10.55</v>
      </c>
      <c r="F47" s="4">
        <v>10.24</v>
      </c>
      <c r="G47" s="4">
        <v>9.35</v>
      </c>
      <c r="H47" s="4">
        <v>16.7</v>
      </c>
      <c r="I47" s="4">
        <v>16.78</v>
      </c>
      <c r="J47" s="4">
        <v>24.25</v>
      </c>
      <c r="K47" s="4">
        <v>38.020000000000003</v>
      </c>
      <c r="L47" s="4">
        <v>26.61</v>
      </c>
      <c r="M47" s="4">
        <v>12.22</v>
      </c>
      <c r="N47" s="4">
        <v>23.98</v>
      </c>
      <c r="O47" s="4">
        <v>26.43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(SUMPRODUCT($D$47:D47,$D$11:D11)+SUMPRODUCT('2021'!E$47:$O47,'2021'!E$11:$O11))/D25</f>
        <v>11.030486301362206</v>
      </c>
      <c r="E49" s="18">
        <f>(SUMPRODUCT($D$47:E47,$D$11:E11)+SUMPRODUCT('2021'!F$47:$O47,'2021'!F$11:$O11))/E25</f>
        <v>11.417456748868974</v>
      </c>
      <c r="F49" s="18">
        <f>(SUMPRODUCT($D$47:F47,$D$11:F11)+SUMPRODUCT('2021'!G$47:$O47,'2021'!G$11:$O11))/(F21+SUM('2021'!G$11:$O11))</f>
        <v>12.044245604146189</v>
      </c>
      <c r="G49" s="18">
        <f>(SUMPRODUCT($D$47:G47,$D$11:G11)+SUMPRODUCT('2021'!H$47:$O47,'2021'!H$11:$O11))/(G21+SUM('2021'!H$11:$O11))</f>
        <v>12.473506612880291</v>
      </c>
      <c r="H49" s="18">
        <f>(SUMPRODUCT($D$47:H47,$D$11:H11)+SUMPRODUCT('2021'!I$47:$O47,'2021'!I$11:$O11))/(H21+SUM('2021'!I$11:$O11))</f>
        <v>13.172190601972193</v>
      </c>
      <c r="I49" s="18">
        <f>(SUMPRODUCT($D$47:I47,$D$11:I11)+SUMPRODUCT('2021'!J$47:$O47,'2021'!J$11:$O11))/(I21+SUM('2021'!J$11:$O11))</f>
        <v>13.54934052107614</v>
      </c>
      <c r="J49" s="18">
        <f>(SUMPRODUCT($D$47:J47,$D$11:J11)+SUMPRODUCT('2021'!K$47:$O47,'2021'!K$11:$O11))/(J21+SUM('2021'!K$11:$O11))</f>
        <v>14.111646682588688</v>
      </c>
      <c r="K49" s="18">
        <f>(SUMPRODUCT($D$47:K47,$D$11:K11)+SUMPRODUCT('2021'!L$47:$O47,'2021'!L$11:$O11))/(K21+SUM('2021'!L$11:$O11))</f>
        <v>15.137125960759379</v>
      </c>
      <c r="L49" s="18">
        <f>(SUMPRODUCT($D$47:L47,$D$11:L11)+SUMPRODUCT('2021'!M$47:$O47,'2021'!M$11:$O11))/(L21+SUM('2021'!M$11:$O11))</f>
        <v>16.002452616683442</v>
      </c>
      <c r="M49" s="18">
        <f>(SUMPRODUCT($D$47:M47,$D$11:M11)+SUMPRODUCT('2021'!N$47:$O47,'2021'!N$11:$O11))/(M21+SUM('2021'!N$11:$O11))</f>
        <v>16.322582912698039</v>
      </c>
      <c r="N49" s="18">
        <f>(SUMPRODUCT($D$47:N47,$D$11:N11)+SUMPRODUCT('2021'!O$47:$O47,'2021'!O$11:$O11))/(N21+SUM('2021'!O$11:$O11))</f>
        <v>17.460893229404942</v>
      </c>
      <c r="O49" s="18">
        <f>(SUMPRODUCT($D$47:O47,$D$11:O11))/(O21)</f>
        <v>17.217131508410272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 t="s">
        <v>121</v>
      </c>
      <c r="C51" s="2"/>
      <c r="D51" s="4">
        <v>13.63</v>
      </c>
      <c r="E51" s="4">
        <v>10.45</v>
      </c>
      <c r="F51" s="4">
        <v>11.12</v>
      </c>
      <c r="G51" s="4">
        <v>10.24</v>
      </c>
      <c r="H51" s="4">
        <v>16.850000000000001</v>
      </c>
      <c r="I51" s="4">
        <v>17.77</v>
      </c>
      <c r="J51" s="4">
        <v>23.23</v>
      </c>
      <c r="K51" s="4">
        <v>32.83</v>
      </c>
      <c r="L51" s="4">
        <v>27.06</v>
      </c>
      <c r="M51" s="4">
        <v>14.33</v>
      </c>
      <c r="N51" s="4">
        <v>24.62</v>
      </c>
      <c r="O51" s="18">
        <v>27.38</v>
      </c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>
        <f>(SUMPRODUCT(D51,D11)+SUMPRODUCT('2021'!E51:O51,'2021'!E11:O11))/'2022'!D25</f>
        <v>10.93668668667447</v>
      </c>
      <c r="E53" s="18">
        <f>(SUMPRODUCT($D$51:E51,D11:E11)+SUMPRODUCT('2021'!F$51:$O51,'2021'!F$11:$O11))/'2022'!E25</f>
        <v>11.336357075711208</v>
      </c>
      <c r="F53" s="18">
        <f>(SUMPRODUCT($D$51:F51,$D$11:F11)+SUMPRODUCT('2021'!G$51:$O51,'2021'!G$11:$O11))/'2022'!F25</f>
        <v>12.02545639352291</v>
      </c>
      <c r="G53" s="18">
        <f>(SUMPRODUCT($D$51:G51,$D$11:G11)+SUMPRODUCT('2021'!H$51:$O51,'2021'!H$11:$O11))/'2022'!G25</f>
        <v>12.480577545320113</v>
      </c>
      <c r="H53" s="18">
        <f>(SUMPRODUCT($D$51:H51,$D$11:H11)+SUMPRODUCT('2021'!I$51:$O51,'2021'!I$11:$O11))/'2022'!H25</f>
        <v>13.166056398573822</v>
      </c>
      <c r="I53" s="18">
        <f>(SUMPRODUCT($D$51:I51,$D$11:I11)+SUMPRODUCT('2021'!J$51:$O51,'2021'!J$11:$O11))/'2022'!I25</f>
        <v>13.572983355281533</v>
      </c>
      <c r="J53" s="18">
        <f>(SUMPRODUCT($D$51:J51,$D$11:J11)+SUMPRODUCT('2021'!K$51:$O51,'2021'!K$11:$O11))/'2022'!J25</f>
        <v>14.111615159736704</v>
      </c>
      <c r="K53" s="18">
        <f>(SUMPRODUCT($D$51:K51,$D$11:K11)+SUMPRODUCT('2021'!L$51:$O51,'2021'!L$11:$O11))/'2022'!K25</f>
        <v>14.9705733681</v>
      </c>
      <c r="L53" s="18">
        <f>(SUMPRODUCT($D$51:L51,$D$11:L11)+SUMPRODUCT('2021'!M$51:$O51,'2021'!M$11:$O11))/'2022'!L25</f>
        <v>15.824294896368141</v>
      </c>
      <c r="M53" s="18">
        <f>(SUMPRODUCT($D$51:M51,$D$11:M11)+SUMPRODUCT('2021'!N$51:$O51,'2021'!N$11:$O11))/'2022'!M25</f>
        <v>16.275733483150965</v>
      </c>
      <c r="N53" s="18">
        <f>(SUMPRODUCT($D$51:N51,$D$11:N11)+SUMPRODUCT('2021'!O$51:$O51,'2021'!O$11:$O11))/'2022'!N25</f>
        <v>17.484141923680884</v>
      </c>
      <c r="O53" s="18">
        <f>(SUMPRODUCT($D$51:O51,$D$11:O11)/'2022'!O25)</f>
        <v>17.521508008857005</v>
      </c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700-000000000000}"/>
    <hyperlink ref="R2" r:id="rId2" xr:uid="{00000000-0004-0000-0700-000001000000}"/>
    <hyperlink ref="R3" r:id="rId3" location="!/" xr:uid="{00000000-0004-0000-07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2.75" customHeight="1" x14ac:dyDescent="0.3">
      <c r="A1" s="1" t="s">
        <v>0</v>
      </c>
      <c r="B1" s="2"/>
      <c r="C1" s="2"/>
      <c r="D1" s="3">
        <v>2021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123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11.793913043478261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124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69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69"/>
      <c r="V7" s="2"/>
      <c r="W7" s="2"/>
      <c r="X7" s="2"/>
      <c r="Y7" s="2"/>
      <c r="Z7" s="2"/>
      <c r="AA7" s="2"/>
    </row>
    <row r="8" spans="1:27" ht="12.75" customHeight="1" x14ac:dyDescent="0.25">
      <c r="A8" s="24">
        <v>2021</v>
      </c>
      <c r="B8" s="25" t="s">
        <v>27</v>
      </c>
      <c r="C8" s="26" t="s">
        <v>125</v>
      </c>
      <c r="D8" s="27">
        <v>-4.8</v>
      </c>
      <c r="E8" s="27">
        <v>-8.4</v>
      </c>
      <c r="F8" s="27">
        <v>-0.9</v>
      </c>
      <c r="G8" s="27">
        <v>4.5</v>
      </c>
      <c r="H8" s="27">
        <v>10.4</v>
      </c>
      <c r="I8" s="27">
        <v>19.2</v>
      </c>
      <c r="J8" s="27">
        <v>20.6</v>
      </c>
      <c r="K8" s="27">
        <v>15.1</v>
      </c>
      <c r="L8" s="27">
        <v>9.1999999999999993</v>
      </c>
      <c r="M8" s="27">
        <v>7.8</v>
      </c>
      <c r="N8" s="27">
        <v>1.1000000000000001</v>
      </c>
      <c r="O8" s="28">
        <v>-6.9</v>
      </c>
      <c r="P8" s="27">
        <f>AVERAGE(D8:O8)</f>
        <v>5.5749999999999993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2021</v>
      </c>
      <c r="B9" s="25" t="s">
        <v>29</v>
      </c>
      <c r="C9" s="30" t="s">
        <v>30</v>
      </c>
      <c r="D9" s="31">
        <v>667.2</v>
      </c>
      <c r="E9" s="31">
        <v>643.39</v>
      </c>
      <c r="F9" s="31">
        <v>521.36</v>
      </c>
      <c r="G9" s="31">
        <v>358.09</v>
      </c>
      <c r="H9" s="31">
        <v>289.43</v>
      </c>
      <c r="I9" s="31">
        <v>176.03</v>
      </c>
      <c r="J9" s="31">
        <v>174.99</v>
      </c>
      <c r="K9" s="31">
        <v>224.94</v>
      </c>
      <c r="L9" s="31">
        <v>277.62</v>
      </c>
      <c r="M9" s="31">
        <v>339.04</v>
      </c>
      <c r="N9" s="31">
        <v>450.6</v>
      </c>
      <c r="O9" s="32">
        <v>746.42</v>
      </c>
      <c r="P9" s="31">
        <f t="shared" ref="P9:P17" si="0">SUM(D9:O9)</f>
        <v>4869.1100000000006</v>
      </c>
      <c r="Q9" s="2"/>
      <c r="R9" s="33">
        <f t="shared" ref="R9:R12" si="1">P9/$P$11</f>
        <v>0.54031761391189337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2021</v>
      </c>
      <c r="B10" s="25" t="s">
        <v>31</v>
      </c>
      <c r="C10" s="30" t="s">
        <v>30</v>
      </c>
      <c r="D10" s="31">
        <v>521.37</v>
      </c>
      <c r="E10" s="31">
        <v>501.77</v>
      </c>
      <c r="F10" s="31">
        <v>475.72</v>
      </c>
      <c r="G10" s="31">
        <v>384.29</v>
      </c>
      <c r="H10" s="31">
        <v>288.58</v>
      </c>
      <c r="I10" s="31">
        <v>179.75</v>
      </c>
      <c r="J10" s="31">
        <v>132.02000000000001</v>
      </c>
      <c r="K10" s="31">
        <v>197.31</v>
      </c>
      <c r="L10" s="31">
        <v>259.55</v>
      </c>
      <c r="M10" s="31">
        <v>276.13</v>
      </c>
      <c r="N10" s="66">
        <v>372.85</v>
      </c>
      <c r="O10" s="37">
        <v>553.12</v>
      </c>
      <c r="P10" s="38">
        <f t="shared" si="0"/>
        <v>4142.46</v>
      </c>
      <c r="Q10" s="39"/>
      <c r="R10" s="33">
        <f t="shared" si="1"/>
        <v>0.45968238608810674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2021</v>
      </c>
      <c r="B11" s="25" t="s">
        <v>32</v>
      </c>
      <c r="C11" s="30" t="s">
        <v>30</v>
      </c>
      <c r="D11" s="31">
        <f t="shared" ref="D11:O11" si="2">SUM(D9:D10)</f>
        <v>1188.5700000000002</v>
      </c>
      <c r="E11" s="31">
        <f t="shared" si="2"/>
        <v>1145.1599999999999</v>
      </c>
      <c r="F11" s="31">
        <f t="shared" si="2"/>
        <v>997.08</v>
      </c>
      <c r="G11" s="31">
        <f t="shared" si="2"/>
        <v>742.38</v>
      </c>
      <c r="H11" s="31">
        <f t="shared" si="2"/>
        <v>578.01</v>
      </c>
      <c r="I11" s="31">
        <f t="shared" si="2"/>
        <v>355.78</v>
      </c>
      <c r="J11" s="31">
        <f t="shared" si="2"/>
        <v>307.01</v>
      </c>
      <c r="K11" s="31">
        <f t="shared" si="2"/>
        <v>422.25</v>
      </c>
      <c r="L11" s="31">
        <f t="shared" si="2"/>
        <v>537.17000000000007</v>
      </c>
      <c r="M11" s="31">
        <f t="shared" si="2"/>
        <v>615.17000000000007</v>
      </c>
      <c r="N11" s="31">
        <f t="shared" si="2"/>
        <v>823.45</v>
      </c>
      <c r="O11" s="31">
        <f t="shared" si="2"/>
        <v>1299.54</v>
      </c>
      <c r="P11" s="40">
        <f t="shared" si="0"/>
        <v>9011.57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  <c r="AA11" s="2"/>
    </row>
    <row r="12" spans="1:27" ht="12.75" customHeight="1" x14ac:dyDescent="0.3">
      <c r="A12" s="24">
        <v>2021</v>
      </c>
      <c r="B12" s="25" t="s">
        <v>33</v>
      </c>
      <c r="C12" s="30" t="s">
        <v>30</v>
      </c>
      <c r="D12" s="31">
        <f>(3418.61-2847.07)</f>
        <v>571.54</v>
      </c>
      <c r="E12" s="31">
        <f>(4046.96-3418.61)</f>
        <v>628.34999999999991</v>
      </c>
      <c r="F12" s="31">
        <f>(4425.58-4046.96)</f>
        <v>378.61999999999989</v>
      </c>
      <c r="G12" s="31">
        <f>(4616.88-4425.58)</f>
        <v>191.30000000000018</v>
      </c>
      <c r="H12" s="31">
        <f>(4702.5-4616.88)</f>
        <v>85.619999999999891</v>
      </c>
      <c r="I12" s="31">
        <f>(4704.28-4702.5)</f>
        <v>1.7799999999997453</v>
      </c>
      <c r="J12" s="31">
        <f>43.569-41.956</f>
        <v>1.6129999999999995</v>
      </c>
      <c r="K12" s="31">
        <f>32.785+5.026</f>
        <v>37.810999999999993</v>
      </c>
      <c r="L12" s="31">
        <f>(140.971-32.785)</f>
        <v>108.18600000000001</v>
      </c>
      <c r="M12" s="31">
        <f>(286.88-140.971)</f>
        <v>145.90899999999999</v>
      </c>
      <c r="N12" s="31">
        <f>(597.252-286.88)</f>
        <v>310.37199999999996</v>
      </c>
      <c r="O12" s="31">
        <f>(1256.21-597.252)</f>
        <v>658.95800000000008</v>
      </c>
      <c r="P12" s="31">
        <f t="shared" si="0"/>
        <v>3120.0589999999993</v>
      </c>
      <c r="Q12" s="39"/>
      <c r="R12" s="33">
        <f t="shared" si="1"/>
        <v>0.34622812673041425</v>
      </c>
      <c r="S12" s="34"/>
      <c r="T12" s="29"/>
      <c r="U12" s="29"/>
      <c r="V12" s="2"/>
      <c r="W12" s="39"/>
      <c r="X12" s="11">
        <f>P12+'2020'!X12</f>
        <v>28136.989714285715</v>
      </c>
      <c r="Y12" s="65" t="s">
        <v>30</v>
      </c>
      <c r="Z12" s="11">
        <f>X12*1000/400</f>
        <v>70342.474285714285</v>
      </c>
      <c r="AA12" s="65" t="s">
        <v>35</v>
      </c>
    </row>
    <row r="13" spans="1:27" ht="12.75" customHeight="1" x14ac:dyDescent="0.25">
      <c r="A13" s="24">
        <v>2021</v>
      </c>
      <c r="B13" s="41" t="s">
        <v>36</v>
      </c>
      <c r="C13" s="26" t="s">
        <v>126</v>
      </c>
      <c r="D13" s="31">
        <v>679</v>
      </c>
      <c r="E13" s="31">
        <v>708</v>
      </c>
      <c r="F13" s="31">
        <v>566</v>
      </c>
      <c r="G13" s="31">
        <v>379</v>
      </c>
      <c r="H13" s="31">
        <v>158</v>
      </c>
      <c r="I13" s="31">
        <v>0</v>
      </c>
      <c r="J13" s="31">
        <v>0</v>
      </c>
      <c r="K13" s="31">
        <v>20</v>
      </c>
      <c r="L13" s="31">
        <v>223</v>
      </c>
      <c r="M13" s="31">
        <v>297</v>
      </c>
      <c r="N13" s="31">
        <v>478</v>
      </c>
      <c r="O13" s="42">
        <v>751</v>
      </c>
      <c r="P13" s="31">
        <f t="shared" si="0"/>
        <v>4259</v>
      </c>
      <c r="Q13" s="36"/>
      <c r="R13" s="33">
        <f>(P13-P14)/P14</f>
        <v>-1.091500232234092E-2</v>
      </c>
      <c r="S13" s="2"/>
      <c r="T13" s="29"/>
      <c r="U13" s="29"/>
      <c r="V13" s="2"/>
      <c r="W13" s="36"/>
      <c r="X13" s="2"/>
      <c r="Y13" s="2"/>
      <c r="Z13" s="2"/>
      <c r="AA13" s="2"/>
    </row>
    <row r="14" spans="1:27" ht="12.75" customHeight="1" x14ac:dyDescent="0.25">
      <c r="A14" s="24">
        <v>2021</v>
      </c>
      <c r="B14" s="41" t="s">
        <v>39</v>
      </c>
      <c r="C14" s="26" t="s">
        <v>127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2021</v>
      </c>
      <c r="B15" s="25" t="s">
        <v>41</v>
      </c>
      <c r="C15" s="30" t="s">
        <v>30</v>
      </c>
      <c r="D15" s="31">
        <v>208.7</v>
      </c>
      <c r="E15" s="31">
        <v>178.9</v>
      </c>
      <c r="F15" s="31">
        <v>247.9</v>
      </c>
      <c r="G15" s="31">
        <v>233.5</v>
      </c>
      <c r="H15" s="31">
        <v>224.7</v>
      </c>
      <c r="I15" s="31">
        <v>148.4</v>
      </c>
      <c r="J15" s="31">
        <v>124.7</v>
      </c>
      <c r="K15" s="31">
        <v>175.4</v>
      </c>
      <c r="L15" s="31">
        <v>196.2</v>
      </c>
      <c r="M15" s="31">
        <v>212.2</v>
      </c>
      <c r="N15" s="31">
        <v>218.6</v>
      </c>
      <c r="O15" s="42">
        <v>232</v>
      </c>
      <c r="P15" s="31">
        <f t="shared" si="0"/>
        <v>2401.2000000000003</v>
      </c>
      <c r="Q15" s="2"/>
      <c r="R15" s="33">
        <f>P15/$P$11</f>
        <v>0.26645745413951177</v>
      </c>
      <c r="S15" s="2"/>
      <c r="T15" s="29"/>
      <c r="U15" s="29"/>
      <c r="V15" s="43"/>
      <c r="W15" s="36"/>
      <c r="X15" s="2"/>
      <c r="Y15" s="2"/>
      <c r="Z15" s="2"/>
      <c r="AA15" s="2"/>
    </row>
    <row r="16" spans="1:27" ht="12.75" customHeight="1" x14ac:dyDescent="0.25">
      <c r="A16" s="24">
        <v>2021</v>
      </c>
      <c r="B16" s="25" t="s">
        <v>42</v>
      </c>
      <c r="C16" s="30" t="s">
        <v>30</v>
      </c>
      <c r="D16" s="31">
        <f t="shared" ref="D16:O16" si="3">D12</f>
        <v>571.54</v>
      </c>
      <c r="E16" s="31">
        <f t="shared" si="3"/>
        <v>628.34999999999991</v>
      </c>
      <c r="F16" s="31">
        <f t="shared" si="3"/>
        <v>378.61999999999989</v>
      </c>
      <c r="G16" s="31">
        <f t="shared" si="3"/>
        <v>191.30000000000018</v>
      </c>
      <c r="H16" s="31">
        <f t="shared" si="3"/>
        <v>85.619999999999891</v>
      </c>
      <c r="I16" s="31">
        <f t="shared" si="3"/>
        <v>1.7799999999997453</v>
      </c>
      <c r="J16" s="31">
        <f t="shared" si="3"/>
        <v>1.6129999999999995</v>
      </c>
      <c r="K16" s="31">
        <f t="shared" si="3"/>
        <v>37.810999999999993</v>
      </c>
      <c r="L16" s="31">
        <f t="shared" si="3"/>
        <v>108.18600000000001</v>
      </c>
      <c r="M16" s="31">
        <f t="shared" si="3"/>
        <v>145.90899999999999</v>
      </c>
      <c r="N16" s="31">
        <f t="shared" si="3"/>
        <v>310.37199999999996</v>
      </c>
      <c r="O16" s="31">
        <f t="shared" si="3"/>
        <v>658.95800000000008</v>
      </c>
      <c r="P16" s="31">
        <f t="shared" si="0"/>
        <v>3120.0589999999993</v>
      </c>
      <c r="Q16" s="2"/>
      <c r="R16" s="11"/>
      <c r="S16" s="2"/>
      <c r="T16" s="29"/>
      <c r="U16" s="29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2021</v>
      </c>
      <c r="B17" s="25" t="s">
        <v>43</v>
      </c>
      <c r="C17" s="30" t="s">
        <v>30</v>
      </c>
      <c r="D17" s="31">
        <f t="shared" ref="D17:H17" si="4">IF(D16&lt;0,0,((D14/D13))*D16)</f>
        <v>599.31734904270991</v>
      </c>
      <c r="E17" s="31">
        <f t="shared" si="4"/>
        <v>589.29999999999995</v>
      </c>
      <c r="F17" s="31">
        <f t="shared" si="4"/>
        <v>400.02607773851577</v>
      </c>
      <c r="G17" s="31">
        <f t="shared" si="4"/>
        <v>195.33799472295536</v>
      </c>
      <c r="H17" s="31">
        <f t="shared" si="4"/>
        <v>84.536202531645472</v>
      </c>
      <c r="I17" s="46">
        <f t="shared" ref="I17:K17" si="5">I16</f>
        <v>1.7799999999997453</v>
      </c>
      <c r="J17" s="46">
        <f t="shared" si="5"/>
        <v>1.6129999999999995</v>
      </c>
      <c r="K17" s="46">
        <f t="shared" si="5"/>
        <v>37.810999999999993</v>
      </c>
      <c r="L17" s="31">
        <f t="shared" ref="L17:O17" si="6">IF(L16&lt;0,0,((L14/L13))*L16)</f>
        <v>90.720995515695066</v>
      </c>
      <c r="M17" s="31">
        <f t="shared" si="6"/>
        <v>184.22853535353534</v>
      </c>
      <c r="N17" s="31">
        <f t="shared" si="6"/>
        <v>336.34455230125519</v>
      </c>
      <c r="O17" s="42">
        <f t="shared" si="6"/>
        <v>574.72368841544619</v>
      </c>
      <c r="P17" s="40">
        <f t="shared" si="0"/>
        <v>3095.7393956217579</v>
      </c>
      <c r="Q17" s="47"/>
      <c r="R17" s="39">
        <f>(P14-P13)/P14</f>
        <v>1.091500232234092E-2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39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38.340967741935486</v>
      </c>
      <c r="E20" s="4">
        <f t="shared" si="7"/>
        <v>40.898571428571422</v>
      </c>
      <c r="F20" s="4">
        <f t="shared" si="7"/>
        <v>32.163870967741936</v>
      </c>
      <c r="G20" s="4">
        <f t="shared" si="7"/>
        <v>24.745999999999999</v>
      </c>
      <c r="H20" s="4">
        <f t="shared" si="7"/>
        <v>18.645483870967741</v>
      </c>
      <c r="I20" s="4">
        <f t="shared" si="7"/>
        <v>11.859333333333332</v>
      </c>
      <c r="J20" s="4">
        <f t="shared" si="7"/>
        <v>9.9035483870967731</v>
      </c>
      <c r="K20" s="4">
        <f t="shared" si="7"/>
        <v>13.620967741935484</v>
      </c>
      <c r="L20" s="4">
        <f t="shared" si="7"/>
        <v>17.905666666666669</v>
      </c>
      <c r="M20" s="4">
        <f t="shared" si="7"/>
        <v>19.8441935483871</v>
      </c>
      <c r="N20" s="4">
        <f t="shared" si="7"/>
        <v>27.448333333333334</v>
      </c>
      <c r="O20" s="4">
        <f t="shared" si="7"/>
        <v>41.920645161290324</v>
      </c>
      <c r="P20" s="4">
        <f>P11/365</f>
        <v>24.689232876712328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1188.5700000000002</v>
      </c>
      <c r="E21" s="4">
        <f t="shared" ref="E21:O21" si="9">SUM($D$11:E11)</f>
        <v>2333.73</v>
      </c>
      <c r="F21" s="4">
        <f t="shared" si="9"/>
        <v>3330.81</v>
      </c>
      <c r="G21" s="4">
        <f t="shared" si="9"/>
        <v>4073.19</v>
      </c>
      <c r="H21" s="4">
        <f t="shared" si="9"/>
        <v>4651.2</v>
      </c>
      <c r="I21" s="4">
        <f t="shared" si="9"/>
        <v>5006.9799999999996</v>
      </c>
      <c r="J21" s="4">
        <f t="shared" si="9"/>
        <v>5313.99</v>
      </c>
      <c r="K21" s="4">
        <f t="shared" si="9"/>
        <v>5736.24</v>
      </c>
      <c r="L21" s="4">
        <f t="shared" si="9"/>
        <v>6273.41</v>
      </c>
      <c r="M21" s="4">
        <f t="shared" si="9"/>
        <v>6888.58</v>
      </c>
      <c r="N21" s="4">
        <f t="shared" si="9"/>
        <v>7712.03</v>
      </c>
      <c r="O21" s="4">
        <f t="shared" si="9"/>
        <v>9011.57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 customHeight="1" x14ac:dyDescent="0.3">
      <c r="A22" s="7"/>
      <c r="B22" s="65" t="s">
        <v>46</v>
      </c>
      <c r="C22" s="8" t="s">
        <v>30</v>
      </c>
      <c r="D22" s="4">
        <f t="shared" si="8"/>
        <v>571.54</v>
      </c>
      <c r="E22" s="4">
        <f t="shared" ref="E22:O22" si="10">SUM($D$12:E12)</f>
        <v>1199.8899999999999</v>
      </c>
      <c r="F22" s="4">
        <f t="shared" si="10"/>
        <v>1578.5099999999998</v>
      </c>
      <c r="G22" s="4">
        <f t="shared" si="10"/>
        <v>1769.81</v>
      </c>
      <c r="H22" s="4">
        <f t="shared" si="10"/>
        <v>1855.4299999999998</v>
      </c>
      <c r="I22" s="4">
        <f t="shared" si="10"/>
        <v>1857.2099999999996</v>
      </c>
      <c r="J22" s="4">
        <f t="shared" si="10"/>
        <v>1858.8229999999996</v>
      </c>
      <c r="K22" s="4">
        <f t="shared" si="10"/>
        <v>1896.6339999999996</v>
      </c>
      <c r="L22" s="4">
        <f t="shared" si="10"/>
        <v>2004.8199999999995</v>
      </c>
      <c r="M22" s="4">
        <f t="shared" si="10"/>
        <v>2150.7289999999994</v>
      </c>
      <c r="N22" s="4">
        <f t="shared" si="10"/>
        <v>2461.1009999999992</v>
      </c>
      <c r="O22" s="4">
        <f t="shared" si="10"/>
        <v>3120.0589999999993</v>
      </c>
      <c r="P22" s="4"/>
      <c r="Q22" s="2"/>
      <c r="R22" s="45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 customHeight="1" x14ac:dyDescent="0.3">
      <c r="A23" s="7"/>
      <c r="B23" s="65" t="s">
        <v>47</v>
      </c>
      <c r="C23" s="8" t="s">
        <v>30</v>
      </c>
      <c r="D23" s="4">
        <f>SUM(D16)</f>
        <v>571.54</v>
      </c>
      <c r="E23" s="4">
        <f t="shared" ref="E23:O23" si="11">SUM($D$16:E16)</f>
        <v>1199.8899999999999</v>
      </c>
      <c r="F23" s="4">
        <f t="shared" si="11"/>
        <v>1578.5099999999998</v>
      </c>
      <c r="G23" s="4">
        <f t="shared" si="11"/>
        <v>1769.81</v>
      </c>
      <c r="H23" s="4">
        <f t="shared" si="11"/>
        <v>1855.4299999999998</v>
      </c>
      <c r="I23" s="4">
        <f t="shared" si="11"/>
        <v>1857.2099999999996</v>
      </c>
      <c r="J23" s="4">
        <f t="shared" si="11"/>
        <v>1858.8229999999996</v>
      </c>
      <c r="K23" s="4">
        <f t="shared" si="11"/>
        <v>1896.6339999999996</v>
      </c>
      <c r="L23" s="4">
        <f t="shared" si="11"/>
        <v>2004.8199999999995</v>
      </c>
      <c r="M23" s="4">
        <f t="shared" si="11"/>
        <v>2150.7289999999994</v>
      </c>
      <c r="N23" s="4">
        <f t="shared" si="11"/>
        <v>2461.1009999999992</v>
      </c>
      <c r="O23" s="4">
        <f t="shared" si="11"/>
        <v>3120.0589999999993</v>
      </c>
      <c r="P23" s="4"/>
      <c r="Q23" s="2"/>
      <c r="R23" s="45"/>
      <c r="S23" s="2"/>
      <c r="T23" s="2"/>
      <c r="U23" s="2"/>
      <c r="V23" s="2"/>
      <c r="W23" s="2"/>
      <c r="X23" s="2"/>
      <c r="Y23" s="2"/>
      <c r="Z23" s="2"/>
      <c r="AA23" s="2"/>
    </row>
    <row r="24" spans="1:27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13.171935483870975</v>
      </c>
      <c r="E24" s="4">
        <f t="shared" si="12"/>
        <v>12.068214285714285</v>
      </c>
      <c r="F24" s="4">
        <f t="shared" si="12"/>
        <v>11.953548387096779</v>
      </c>
      <c r="G24" s="4">
        <f t="shared" si="12"/>
        <v>10.585999999999993</v>
      </c>
      <c r="H24" s="4">
        <f t="shared" si="12"/>
        <v>8.6351612903225838</v>
      </c>
      <c r="I24" s="4">
        <f t="shared" si="12"/>
        <v>6.8533333333333406</v>
      </c>
      <c r="J24" s="4">
        <f t="shared" si="12"/>
        <v>5.8289354838709677</v>
      </c>
      <c r="K24" s="4">
        <f t="shared" si="12"/>
        <v>6.7431935483870973</v>
      </c>
      <c r="L24" s="4">
        <f t="shared" si="12"/>
        <v>7.7594666666666683</v>
      </c>
      <c r="M24" s="4">
        <f t="shared" si="12"/>
        <v>8.2922903225806479</v>
      </c>
      <c r="N24" s="4">
        <f t="shared" si="12"/>
        <v>9.8159333333333354</v>
      </c>
      <c r="O24" s="4">
        <f t="shared" si="12"/>
        <v>13.180064516129029</v>
      </c>
      <c r="P24" s="10">
        <f>P11-P12-P15-42</f>
        <v>3448.3110000000001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3">
      <c r="A25" s="7"/>
      <c r="B25" s="65" t="s">
        <v>49</v>
      </c>
      <c r="C25" s="8" t="s">
        <v>30</v>
      </c>
      <c r="D25" s="10">
        <f>D21+'2020'!$P$11-'2020'!D21</f>
        <v>7949.6200000000008</v>
      </c>
      <c r="E25" s="10">
        <f>E21+'2020'!$P$11-'2020'!E21</f>
        <v>8260.43</v>
      </c>
      <c r="F25" s="10">
        <f>F21+'2020'!$P$11-'2020'!F21</f>
        <v>8484.380000000001</v>
      </c>
      <c r="G25" s="10">
        <f>G21+'2020'!$P$11-'2020'!G21</f>
        <v>8504.8499999999985</v>
      </c>
      <c r="H25" s="10">
        <f>H21+'2020'!$P$11-'2020'!H21</f>
        <v>8525.01</v>
      </c>
      <c r="I25" s="10">
        <f>I21+'2020'!$P$11-'2020'!I21</f>
        <v>8558.7100000000009</v>
      </c>
      <c r="J25" s="10">
        <f>J21+'2020'!$P$11-'2020'!J21</f>
        <v>8533.7899999999991</v>
      </c>
      <c r="K25" s="10">
        <f>K21+'2020'!$P$11-'2020'!K21</f>
        <v>8585.07</v>
      </c>
      <c r="L25" s="10">
        <f>L21+'2020'!$P$11-'2020'!L21</f>
        <v>8657.4500000000007</v>
      </c>
      <c r="M25" s="10">
        <f>M21+'2020'!$P$11-'2020'!M21</f>
        <v>8645.82</v>
      </c>
      <c r="N25" s="10">
        <f>N21+'2020'!$P$11-'2020'!N21</f>
        <v>8702.57</v>
      </c>
      <c r="O25" s="10">
        <f>O21+'2020'!$P$11-'2020'!O21</f>
        <v>9011.57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D22+SUM('2020'!E12:$O12)</f>
        <v>2299.0700000000002</v>
      </c>
      <c r="E26" s="10">
        <f>E22+SUM('2020'!F12:$O12)</f>
        <v>2588.7200000000003</v>
      </c>
      <c r="F26" s="10">
        <f>F22+SUM('2020'!G12:$O12)</f>
        <v>2651.39</v>
      </c>
      <c r="G26" s="10">
        <f>G22+SUM('2020'!H12:$O12)</f>
        <v>2651.63</v>
      </c>
      <c r="H26" s="10">
        <f>H22+SUM('2020'!I12:$O12)</f>
        <v>2621.79</v>
      </c>
      <c r="I26" s="10">
        <f>I22+SUM('2020'!J12:$O12)</f>
        <v>2610.9399999999996</v>
      </c>
      <c r="J26" s="10">
        <f>J22+SUM('2020'!K12:$O12)</f>
        <v>2608.0929999999998</v>
      </c>
      <c r="K26" s="10">
        <f>K22+SUM('2020'!L12:$O12)</f>
        <v>2639.6239999999998</v>
      </c>
      <c r="L26" s="10">
        <f>L22+SUM('2020'!M12:$O12)</f>
        <v>2698.16</v>
      </c>
      <c r="M26" s="10">
        <f>M22+SUM('2020'!N12:$O12)</f>
        <v>2702.5689999999995</v>
      </c>
      <c r="N26" s="10">
        <f>N22+SUM('2020'!O12:$O12)</f>
        <v>2792.7109999999993</v>
      </c>
      <c r="O26" s="10">
        <f>O22</f>
        <v>3120.0589999999993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3">
      <c r="A27" s="65" t="s">
        <v>51</v>
      </c>
      <c r="B27" s="2"/>
      <c r="C27" s="2"/>
      <c r="D27" s="3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3"/>
      <c r="R27" s="43"/>
      <c r="S27" s="43"/>
      <c r="T27" s="39"/>
      <c r="U27" s="43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3">D16/D11</f>
        <v>0.48086355873023878</v>
      </c>
      <c r="E28" s="51">
        <f t="shared" si="13"/>
        <v>0.54870061825421779</v>
      </c>
      <c r="F28" s="51">
        <f t="shared" si="13"/>
        <v>0.37972880811970944</v>
      </c>
      <c r="G28" s="51">
        <f t="shared" si="13"/>
        <v>0.25768474366227562</v>
      </c>
      <c r="H28" s="51">
        <f t="shared" si="13"/>
        <v>0.14812892510510181</v>
      </c>
      <c r="I28" s="51">
        <f t="shared" si="13"/>
        <v>5.0030917983016066E-3</v>
      </c>
      <c r="J28" s="51">
        <f t="shared" si="13"/>
        <v>5.2539005244128844E-3</v>
      </c>
      <c r="K28" s="51">
        <f t="shared" si="13"/>
        <v>8.9546477205446992E-2</v>
      </c>
      <c r="L28" s="51">
        <f t="shared" si="13"/>
        <v>0.20139992925889383</v>
      </c>
      <c r="M28" s="51">
        <f t="shared" si="13"/>
        <v>0.23718484321407088</v>
      </c>
      <c r="N28" s="51">
        <f t="shared" si="13"/>
        <v>0.37691663124658442</v>
      </c>
      <c r="O28" s="51">
        <f t="shared" si="13"/>
        <v>0.50707019406867049</v>
      </c>
      <c r="P28" s="51">
        <f t="shared" si="13"/>
        <v>0.34622812673041425</v>
      </c>
      <c r="Q28" s="43"/>
      <c r="R28" s="43"/>
      <c r="S28" s="43"/>
      <c r="T28" s="43"/>
      <c r="U28" s="43"/>
      <c r="V28" s="43"/>
      <c r="W28" s="2"/>
      <c r="X28" s="2"/>
      <c r="Y28" s="2"/>
      <c r="Z28" s="2"/>
      <c r="AA28" s="2"/>
    </row>
    <row r="29" spans="1:27" ht="12.75" customHeight="1" x14ac:dyDescent="0.3">
      <c r="A29" s="2"/>
      <c r="B29" s="65" t="s">
        <v>53</v>
      </c>
      <c r="C29" s="2" t="s">
        <v>128</v>
      </c>
      <c r="D29" s="4">
        <f t="shared" ref="D29:H29" si="14">D16/D13</f>
        <v>0.84173784977908683</v>
      </c>
      <c r="E29" s="4">
        <f t="shared" si="14"/>
        <v>0.88749999999999984</v>
      </c>
      <c r="F29" s="4">
        <f t="shared" si="14"/>
        <v>0.66893992932862167</v>
      </c>
      <c r="G29" s="4">
        <f t="shared" si="14"/>
        <v>0.50474934036939367</v>
      </c>
      <c r="H29" s="4">
        <f t="shared" si="14"/>
        <v>0.54189873417721446</v>
      </c>
      <c r="I29" s="52"/>
      <c r="J29" s="52"/>
      <c r="K29" s="52"/>
      <c r="L29" s="4">
        <f t="shared" ref="L29:P29" si="15">L16/L13</f>
        <v>0.48513901345291482</v>
      </c>
      <c r="M29" s="4">
        <f t="shared" si="15"/>
        <v>0.49127609427609426</v>
      </c>
      <c r="N29" s="4">
        <f t="shared" si="15"/>
        <v>0.64931380753138068</v>
      </c>
      <c r="O29" s="4">
        <f t="shared" si="15"/>
        <v>0.87744074567243691</v>
      </c>
      <c r="P29" s="4">
        <f t="shared" si="15"/>
        <v>0.73258018314158235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3">
      <c r="A30" s="2"/>
      <c r="B30" s="65" t="s">
        <v>53</v>
      </c>
      <c r="C30" s="8" t="s">
        <v>7</v>
      </c>
      <c r="D30" s="4">
        <f t="shared" ref="D30:P30" si="16">D16/D7</f>
        <v>18.436774193548384</v>
      </c>
      <c r="E30" s="4">
        <f t="shared" si="16"/>
        <v>22.441071428571426</v>
      </c>
      <c r="F30" s="4">
        <f t="shared" si="16"/>
        <v>12.21354838709677</v>
      </c>
      <c r="G30" s="4">
        <f t="shared" si="16"/>
        <v>6.3766666666666731</v>
      </c>
      <c r="H30" s="4">
        <f t="shared" si="16"/>
        <v>2.7619354838709644</v>
      </c>
      <c r="I30" s="4">
        <f t="shared" si="16"/>
        <v>5.9333333333324842E-2</v>
      </c>
      <c r="J30" s="4">
        <f t="shared" si="16"/>
        <v>5.2032258064516113E-2</v>
      </c>
      <c r="K30" s="4">
        <f t="shared" si="16"/>
        <v>1.2197096774193545</v>
      </c>
      <c r="L30" s="4">
        <f t="shared" si="16"/>
        <v>3.6062000000000003</v>
      </c>
      <c r="M30" s="4">
        <f t="shared" si="16"/>
        <v>4.7067419354838709</v>
      </c>
      <c r="N30" s="4">
        <f t="shared" si="16"/>
        <v>10.345733333333332</v>
      </c>
      <c r="O30" s="4">
        <f t="shared" si="16"/>
        <v>21.256709677419359</v>
      </c>
      <c r="P30" s="4">
        <f t="shared" si="16"/>
        <v>8.5481068493150669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3">
      <c r="A31" s="2"/>
      <c r="B31" s="65" t="s">
        <v>55</v>
      </c>
      <c r="C31" s="8" t="s">
        <v>7</v>
      </c>
      <c r="D31" s="4">
        <f t="shared" ref="D31:P31" si="17">D17/D7</f>
        <v>19.33281771105516</v>
      </c>
      <c r="E31" s="4">
        <f t="shared" si="17"/>
        <v>21.046428571428571</v>
      </c>
      <c r="F31" s="4">
        <f t="shared" si="17"/>
        <v>12.904067023823089</v>
      </c>
      <c r="G31" s="4">
        <f t="shared" si="17"/>
        <v>6.5112664907651787</v>
      </c>
      <c r="H31" s="4">
        <f t="shared" si="17"/>
        <v>2.7269742752143702</v>
      </c>
      <c r="I31" s="4">
        <f t="shared" si="17"/>
        <v>5.9333333333324842E-2</v>
      </c>
      <c r="J31" s="4">
        <f t="shared" si="17"/>
        <v>5.2032258064516113E-2</v>
      </c>
      <c r="K31" s="4">
        <f t="shared" si="17"/>
        <v>1.2197096774193545</v>
      </c>
      <c r="L31" s="4">
        <f t="shared" si="17"/>
        <v>3.0240331838565022</v>
      </c>
      <c r="M31" s="4">
        <f t="shared" si="17"/>
        <v>5.9428559791463007</v>
      </c>
      <c r="N31" s="4">
        <f t="shared" si="17"/>
        <v>11.211485076708506</v>
      </c>
      <c r="O31" s="4">
        <f t="shared" si="17"/>
        <v>18.539473819853104</v>
      </c>
      <c r="P31" s="4">
        <f t="shared" si="17"/>
        <v>8.4814777962239951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3">
      <c r="A32" s="2"/>
      <c r="B32" s="65" t="s">
        <v>56</v>
      </c>
      <c r="C32" s="2" t="s">
        <v>129</v>
      </c>
      <c r="D32" s="4">
        <f t="shared" ref="D32:P32" si="18">D16/$F$4</f>
        <v>2.362516534391534</v>
      </c>
      <c r="E32" s="4">
        <f t="shared" si="18"/>
        <v>2.5973462301587298</v>
      </c>
      <c r="F32" s="4">
        <f t="shared" si="18"/>
        <v>1.56506283068783</v>
      </c>
      <c r="G32" s="4">
        <f t="shared" si="18"/>
        <v>0.79075727513227578</v>
      </c>
      <c r="H32" s="4">
        <f t="shared" si="18"/>
        <v>0.35391865079365031</v>
      </c>
      <c r="I32" s="4">
        <f t="shared" si="18"/>
        <v>7.3578042328031794E-3</v>
      </c>
      <c r="J32" s="4">
        <f t="shared" si="18"/>
        <v>6.6674933862433837E-3</v>
      </c>
      <c r="K32" s="4">
        <f t="shared" si="18"/>
        <v>0.15629546957671953</v>
      </c>
      <c r="L32" s="4">
        <f t="shared" si="18"/>
        <v>0.44719742063492063</v>
      </c>
      <c r="M32" s="4">
        <f t="shared" si="18"/>
        <v>0.60312913359788356</v>
      </c>
      <c r="N32" s="4">
        <f t="shared" si="18"/>
        <v>1.282953042328042</v>
      </c>
      <c r="O32" s="4">
        <f t="shared" si="18"/>
        <v>2.7238673941798943</v>
      </c>
      <c r="P32" s="4">
        <f t="shared" si="18"/>
        <v>12.897069279100526</v>
      </c>
      <c r="Q32" s="2"/>
      <c r="R32" s="2"/>
      <c r="S32" s="2"/>
      <c r="T32" s="4">
        <f>T16/$F$4</f>
        <v>0</v>
      </c>
      <c r="U32" s="2"/>
      <c r="V32" s="2"/>
      <c r="W32" s="2"/>
      <c r="X32" s="2"/>
      <c r="Y32" s="2"/>
      <c r="Z32" s="2"/>
      <c r="AA32" s="2"/>
    </row>
    <row r="33" spans="1:27" ht="12.75" customHeight="1" x14ac:dyDescent="0.3">
      <c r="A33" s="2"/>
      <c r="B33" s="65" t="s">
        <v>56</v>
      </c>
      <c r="C33" s="2" t="s">
        <v>130</v>
      </c>
      <c r="D33" s="4">
        <f t="shared" ref="D33:P33" si="19">D16/$F$3</f>
        <v>5.9535416666666663</v>
      </c>
      <c r="E33" s="4">
        <f t="shared" si="19"/>
        <v>6.5453124999999988</v>
      </c>
      <c r="F33" s="4">
        <f t="shared" si="19"/>
        <v>3.9439583333333323</v>
      </c>
      <c r="G33" s="4">
        <f t="shared" si="19"/>
        <v>1.9927083333333353</v>
      </c>
      <c r="H33" s="4">
        <f t="shared" si="19"/>
        <v>0.89187499999999886</v>
      </c>
      <c r="I33" s="4">
        <f t="shared" si="19"/>
        <v>1.8541666666664014E-2</v>
      </c>
      <c r="J33" s="4">
        <f t="shared" si="19"/>
        <v>1.6802083333333329E-2</v>
      </c>
      <c r="K33" s="4">
        <f t="shared" si="19"/>
        <v>0.39386458333333324</v>
      </c>
      <c r="L33" s="4">
        <f t="shared" si="19"/>
        <v>1.1269375000000001</v>
      </c>
      <c r="M33" s="4">
        <f t="shared" si="19"/>
        <v>1.5198854166666667</v>
      </c>
      <c r="N33" s="4">
        <f t="shared" si="19"/>
        <v>3.2330416666666664</v>
      </c>
      <c r="O33" s="4">
        <f t="shared" si="19"/>
        <v>6.8641458333333345</v>
      </c>
      <c r="P33" s="4">
        <f t="shared" si="19"/>
        <v>32.500614583333324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3">
      <c r="A34" s="2"/>
      <c r="B34" s="65" t="s">
        <v>59</v>
      </c>
      <c r="C34" s="2" t="s">
        <v>131</v>
      </c>
      <c r="D34" s="4">
        <f t="shared" ref="D34:P34" si="20">D17/$F$4</f>
        <v>2.4773369256064397</v>
      </c>
      <c r="E34" s="4">
        <f t="shared" si="20"/>
        <v>2.4359292328042326</v>
      </c>
      <c r="F34" s="4">
        <f t="shared" si="20"/>
        <v>1.6535469483238912</v>
      </c>
      <c r="G34" s="4">
        <f t="shared" si="20"/>
        <v>0.8074487215730628</v>
      </c>
      <c r="H34" s="4">
        <f t="shared" si="20"/>
        <v>0.34943866787221173</v>
      </c>
      <c r="I34" s="4">
        <f t="shared" si="20"/>
        <v>7.3578042328031794E-3</v>
      </c>
      <c r="J34" s="4">
        <f t="shared" si="20"/>
        <v>6.6674933862433837E-3</v>
      </c>
      <c r="K34" s="4">
        <f t="shared" si="20"/>
        <v>0.15629546957671953</v>
      </c>
      <c r="L34" s="4">
        <f t="shared" si="20"/>
        <v>0.37500411506157016</v>
      </c>
      <c r="M34" s="4">
        <f t="shared" si="20"/>
        <v>0.76152668383571154</v>
      </c>
      <c r="N34" s="4">
        <f t="shared" si="20"/>
        <v>1.390313129552146</v>
      </c>
      <c r="O34" s="4">
        <f t="shared" si="20"/>
        <v>2.3756766220876577</v>
      </c>
      <c r="P34" s="4">
        <f t="shared" si="20"/>
        <v>12.79654181391269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2"/>
      <c r="B35" s="65" t="s">
        <v>59</v>
      </c>
      <c r="C35" s="2" t="s">
        <v>132</v>
      </c>
      <c r="D35" s="4">
        <f t="shared" ref="D35:P35" si="21">D17/$F$3</f>
        <v>6.2428890525282279</v>
      </c>
      <c r="E35" s="4">
        <f t="shared" si="21"/>
        <v>6.1385416666666659</v>
      </c>
      <c r="F35" s="4">
        <f t="shared" si="21"/>
        <v>4.1669383097762056</v>
      </c>
      <c r="G35" s="4">
        <f t="shared" si="21"/>
        <v>2.0347707783641185</v>
      </c>
      <c r="H35" s="4">
        <f t="shared" si="21"/>
        <v>0.8805854430379737</v>
      </c>
      <c r="I35" s="4">
        <f t="shared" si="21"/>
        <v>1.8541666666664014E-2</v>
      </c>
      <c r="J35" s="4">
        <f t="shared" si="21"/>
        <v>1.6802083333333329E-2</v>
      </c>
      <c r="K35" s="4">
        <f t="shared" si="21"/>
        <v>0.39386458333333324</v>
      </c>
      <c r="L35" s="4">
        <f t="shared" si="21"/>
        <v>0.94501036995515697</v>
      </c>
      <c r="M35" s="4">
        <f t="shared" si="21"/>
        <v>1.9190472432659931</v>
      </c>
      <c r="N35" s="4">
        <f t="shared" si="21"/>
        <v>3.5035890864714081</v>
      </c>
      <c r="O35" s="4">
        <f t="shared" si="21"/>
        <v>5.9867050876608978</v>
      </c>
      <c r="P35" s="4">
        <f t="shared" si="21"/>
        <v>32.247285371059981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3">
      <c r="A36" s="2"/>
      <c r="B36" s="65" t="s">
        <v>56</v>
      </c>
      <c r="C36" s="2" t="s">
        <v>133</v>
      </c>
      <c r="D36" s="4">
        <f t="shared" ref="D36:H36" si="22">1000*D32/D13</f>
        <v>3.4794057943910666</v>
      </c>
      <c r="E36" s="4">
        <f t="shared" si="22"/>
        <v>3.668568121693121</v>
      </c>
      <c r="F36" s="4">
        <f t="shared" si="22"/>
        <v>2.765128676126908</v>
      </c>
      <c r="G36" s="4">
        <f t="shared" si="22"/>
        <v>2.0864308050983529</v>
      </c>
      <c r="H36" s="4">
        <f t="shared" si="22"/>
        <v>2.2399914607193057</v>
      </c>
      <c r="I36" s="52"/>
      <c r="J36" s="52"/>
      <c r="K36" s="52"/>
      <c r="L36" s="4">
        <f t="shared" ref="L36:P36" si="23">1000*L32/L13</f>
        <v>2.0053695992597338</v>
      </c>
      <c r="M36" s="4">
        <f t="shared" si="23"/>
        <v>2.0307378235618976</v>
      </c>
      <c r="N36" s="4">
        <f t="shared" si="23"/>
        <v>2.6840021806025982</v>
      </c>
      <c r="O36" s="4">
        <f t="shared" si="23"/>
        <v>3.6269872092941338</v>
      </c>
      <c r="P36" s="4">
        <f t="shared" si="23"/>
        <v>3.0281918945997948</v>
      </c>
      <c r="Q36" s="2"/>
      <c r="R36" s="2"/>
      <c r="S36" s="2"/>
      <c r="T36" s="4" t="e">
        <f>1000*T32/T13</f>
        <v>#DIV/0!</v>
      </c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3">
      <c r="A40" s="2"/>
      <c r="B40" s="65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3">
      <c r="A41" s="2"/>
      <c r="B41" s="65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3">
      <c r="A43" s="2"/>
      <c r="B43" s="65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3">
      <c r="A46" s="65" t="s">
        <v>134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3">
      <c r="A47" s="2"/>
      <c r="B47" s="65" t="s">
        <v>73</v>
      </c>
      <c r="C47" s="2"/>
      <c r="D47" s="4">
        <v>6.77</v>
      </c>
      <c r="E47" s="4">
        <v>7.68</v>
      </c>
      <c r="F47" s="4">
        <v>4.9000000000000004</v>
      </c>
      <c r="G47" s="4">
        <v>4.38</v>
      </c>
      <c r="H47" s="4">
        <v>5.77</v>
      </c>
      <c r="I47" s="4">
        <v>7.23</v>
      </c>
      <c r="J47" s="4">
        <v>10.74</v>
      </c>
      <c r="K47" s="4">
        <v>8.83</v>
      </c>
      <c r="L47" s="4">
        <v>10.96</v>
      </c>
      <c r="M47" s="4">
        <v>8.35</v>
      </c>
      <c r="N47" s="4">
        <v>11.24</v>
      </c>
      <c r="O47" s="4">
        <v>25.36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(SUMPRODUCT($D$47:D47,$D$11:D11)+SUMPRODUCT('2020'!E$46:$O46,'2020'!E$11:$O11))/(D21+SUM('2020'!E$11:$O11))</f>
        <v>4.1501529884447299</v>
      </c>
      <c r="E49" s="18">
        <f>(SUMPRODUCT($D$47:E47,$D$11:E11)+SUMPRODUCT('2020'!F$46:$O46,'2020'!F$11:$O11))/(E21+SUM('2020'!F$11:$O11))</f>
        <v>4.7344635206641783</v>
      </c>
      <c r="F49" s="18">
        <f>(SUMPRODUCT($D$47:F47,$D$11:F11)+SUMPRODUCT('2020'!G$46:$O46,'2020'!G$11:$O11))/(F21+SUM('2020'!G$11:$O11))</f>
        <v>4.9329269080357081</v>
      </c>
      <c r="G49" s="18">
        <f>(SUMPRODUCT($D$47:G47,$D$11:G11)+SUMPRODUCT('2020'!H$46:$O46,'2020'!H$11:$O11))/(G21+SUM('2020'!H$11:$O11))</f>
        <v>5.0860816122565353</v>
      </c>
      <c r="H49" s="18">
        <f>(SUMPRODUCT($D$47:H47,$D$11:H11)+SUMPRODUCT('2020'!I$46:$O46,'2020'!I$11:$O11))/(H21+SUM('2020'!I$11:$O11))</f>
        <v>5.2938250981523787</v>
      </c>
      <c r="I49" s="18">
        <f>(SUMPRODUCT($D$47:I47,$D$11:I11)+SUMPRODUCT('2020'!J$46:$O46,'2020'!J$11:$O11))/(I21+SUM('2020'!J$11:$O11))</f>
        <v>5.4305260138502183</v>
      </c>
      <c r="J49" s="18">
        <f>(SUMPRODUCT($D$47:J47,$D$11:J11)+SUMPRODUCT('2020'!K$46:$O46,'2020'!K$11:$O11))/(J21+SUM('2020'!K$11:$O11))</f>
        <v>5.7304677991841837</v>
      </c>
      <c r="K49" s="18">
        <f>(SUMPRODUCT($D$47:K47,$D$11:K11)+SUMPRODUCT('2020'!L$46:$O46,'2020'!L$11:$O11))/(K21+SUM('2020'!L$11:$O11))</f>
        <v>5.901948964889046</v>
      </c>
      <c r="L49" s="18">
        <f>(SUMPRODUCT($D$47:L47,$D$11:L11)+SUMPRODUCT('2020'!M$46:$O46,'2020'!M$11:$O11))/(L21+SUM('2020'!M$11:$O11))</f>
        <v>6.2679672998400218</v>
      </c>
      <c r="M49" s="18">
        <f>(SUMPRODUCT($D$47:M47,$D$11:M11)+SUMPRODUCT('2020'!N$46:$O46,'2020'!N$11:$O11))/(M21+SUM('2020'!N$11:$O11))</f>
        <v>6.5856054139456983</v>
      </c>
      <c r="N49" s="18">
        <f>(SUMPRODUCT($D$47:N47,$D$11:N11)+SUMPRODUCT('2020'!O$46:$O46,'2020'!O$11:$O11))/(N21+SUM('2020'!O$11:$O11))</f>
        <v>7.2819961229843599</v>
      </c>
      <c r="O49" s="18">
        <f>(SUMPRODUCT($D$47:O47,$D$11:O11))/(O21)</f>
        <v>10.114540662725807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3">
      <c r="A51" s="2"/>
      <c r="B51" s="65" t="s">
        <v>121</v>
      </c>
      <c r="C51" s="2"/>
      <c r="D51" s="70">
        <v>6.7512800000000004</v>
      </c>
      <c r="E51" s="70">
        <v>7.4841199999999999</v>
      </c>
      <c r="F51" s="70">
        <v>5.1554000000000002</v>
      </c>
      <c r="G51" s="70">
        <v>4.95824</v>
      </c>
      <c r="H51" s="70">
        <v>6.0965600000000002</v>
      </c>
      <c r="I51" s="70">
        <v>7.3638399999999997</v>
      </c>
      <c r="J51" s="70">
        <v>10.16624</v>
      </c>
      <c r="K51" s="70">
        <v>8.8567999999999998</v>
      </c>
      <c r="L51" s="70">
        <v>11.469480000000001</v>
      </c>
      <c r="M51" s="70">
        <v>8.4401600000000006</v>
      </c>
      <c r="N51" s="70">
        <v>11.051600000000001</v>
      </c>
      <c r="O51" s="70">
        <v>24.37912</v>
      </c>
      <c r="P51" s="4">
        <f>SUMPRODUCT(D51:O51,D11:O11)/SUM(D11:O11)</f>
        <v>10.04887099348948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3">
      <c r="A54" s="2"/>
      <c r="B54" s="2"/>
      <c r="C54" s="2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3">
      <c r="A55" s="2"/>
      <c r="B55" s="2"/>
      <c r="C55" s="2"/>
      <c r="D55" s="71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3">
      <c r="A56" s="2"/>
      <c r="B56" s="2"/>
      <c r="C56" s="2"/>
      <c r="D56" s="71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3">
      <c r="A57" s="2"/>
      <c r="B57" s="2"/>
      <c r="C57" s="2"/>
      <c r="D57" s="71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3">
      <c r="A58" s="2"/>
      <c r="B58" s="2"/>
      <c r="C58" s="2"/>
      <c r="D58" s="71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3">
      <c r="A59" s="2"/>
      <c r="B59" s="2"/>
      <c r="C59" s="2"/>
      <c r="D59" s="71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3">
      <c r="A60" s="2"/>
      <c r="B60" s="2"/>
      <c r="C60" s="2"/>
      <c r="D60" s="71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3">
      <c r="A61" s="2"/>
      <c r="B61" s="2"/>
      <c r="C61" s="2"/>
      <c r="D61" s="71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3">
      <c r="A62" s="2"/>
      <c r="B62" s="2"/>
      <c r="C62" s="2"/>
      <c r="D62" s="71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3">
      <c r="A63" s="2"/>
      <c r="B63" s="2"/>
      <c r="C63" s="2"/>
      <c r="D63" s="71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3">
      <c r="A64" s="2"/>
      <c r="B64" s="2"/>
      <c r="C64" s="2"/>
      <c r="D64" s="71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3">
      <c r="A65" s="2"/>
      <c r="B65" s="2"/>
      <c r="C65" s="2"/>
      <c r="D65" s="7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 xr:uid="{00000000-0004-0000-0800-000000000000}"/>
    <hyperlink ref="R2" r:id="rId2" location="lammitystarvelukus" xr:uid="{00000000-0004-0000-0800-000001000000}"/>
    <hyperlink ref="R3" r:id="rId3" location="!/" xr:uid="{00000000-0004-0000-08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2020</v>
      </c>
      <c r="E1" s="4"/>
      <c r="F1" s="4"/>
      <c r="G1" s="4"/>
      <c r="H1" s="4"/>
      <c r="I1" s="4"/>
      <c r="J1" s="4"/>
      <c r="K1" s="4"/>
      <c r="L1" s="4"/>
      <c r="M1" s="4"/>
      <c r="N1" s="4"/>
      <c r="O1" s="4">
        <f>N1+P12</f>
        <v>2041.8900000000003</v>
      </c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135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11.14108695652174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136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3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2020</v>
      </c>
      <c r="B8" s="25" t="s">
        <v>27</v>
      </c>
      <c r="C8" s="26" t="s">
        <v>137</v>
      </c>
      <c r="D8" s="27">
        <v>1.42</v>
      </c>
      <c r="E8" s="27">
        <v>-0.2</v>
      </c>
      <c r="F8" s="27">
        <v>1.1000000000000001</v>
      </c>
      <c r="G8" s="27">
        <v>3.8</v>
      </c>
      <c r="H8" s="27">
        <v>8.6999999999999993</v>
      </c>
      <c r="I8" s="27">
        <v>17.8</v>
      </c>
      <c r="J8" s="27">
        <v>15.7</v>
      </c>
      <c r="K8" s="27">
        <v>15.8</v>
      </c>
      <c r="L8" s="27">
        <v>12.4</v>
      </c>
      <c r="M8" s="27">
        <v>7.7</v>
      </c>
      <c r="N8" s="27">
        <v>4.0999999999999996</v>
      </c>
      <c r="O8" s="28">
        <v>0.5</v>
      </c>
      <c r="P8" s="27">
        <f>AVERAGE(D8:O8)</f>
        <v>7.4016666666666673</v>
      </c>
      <c r="Q8" s="2"/>
      <c r="R8" s="29"/>
      <c r="S8" s="2"/>
      <c r="T8" s="29">
        <f>AVERAGE('2019'!O8,'2020'!D8:N8)</f>
        <v>7.418333333333333</v>
      </c>
      <c r="U8" s="2"/>
      <c r="V8" s="29"/>
      <c r="W8" s="2"/>
      <c r="X8" s="2"/>
      <c r="Y8" s="2"/>
      <c r="Z8" s="2"/>
    </row>
    <row r="9" spans="1:26" ht="12.75" customHeight="1" x14ac:dyDescent="0.25">
      <c r="A9" s="24">
        <v>2020</v>
      </c>
      <c r="B9" s="25" t="s">
        <v>29</v>
      </c>
      <c r="C9" s="30" t="s">
        <v>30</v>
      </c>
      <c r="D9" s="31">
        <v>454.52</v>
      </c>
      <c r="E9" s="31">
        <v>443</v>
      </c>
      <c r="F9" s="31">
        <v>423.5</v>
      </c>
      <c r="G9" s="31">
        <v>361.69</v>
      </c>
      <c r="H9" s="31">
        <v>279.23</v>
      </c>
      <c r="I9" s="31">
        <v>170.45</v>
      </c>
      <c r="J9" s="31">
        <v>192.03</v>
      </c>
      <c r="K9" s="31">
        <v>187.01</v>
      </c>
      <c r="L9" s="31">
        <v>238.08</v>
      </c>
      <c r="M9" s="31">
        <v>353.44</v>
      </c>
      <c r="N9" s="31">
        <v>424.86</v>
      </c>
      <c r="O9" s="32">
        <v>566.71</v>
      </c>
      <c r="P9" s="31">
        <f t="shared" ref="P9:P17" si="0">SUM(D9:O9)</f>
        <v>4094.5200000000004</v>
      </c>
      <c r="Q9" s="2"/>
      <c r="R9" s="33">
        <f t="shared" ref="R9:R12" si="1">P9/$P$11</f>
        <v>0.53698341254603266</v>
      </c>
      <c r="S9" s="34"/>
      <c r="T9" s="29">
        <f>SUM('2019'!O9,'2020'!D9:N9)</f>
        <v>4010.67</v>
      </c>
      <c r="U9" s="29"/>
      <c r="V9" s="35"/>
      <c r="W9" s="36"/>
      <c r="X9" s="11"/>
      <c r="Y9" s="2"/>
      <c r="Z9" s="2"/>
    </row>
    <row r="10" spans="1:26" ht="12.75" customHeight="1" x14ac:dyDescent="0.25">
      <c r="A10" s="24">
        <v>2020</v>
      </c>
      <c r="B10" s="25" t="s">
        <v>31</v>
      </c>
      <c r="C10" s="30" t="s">
        <v>30</v>
      </c>
      <c r="D10" s="31">
        <v>409.47</v>
      </c>
      <c r="E10" s="31">
        <v>391.35</v>
      </c>
      <c r="F10" s="31">
        <v>349.63</v>
      </c>
      <c r="G10" s="31">
        <v>360.22</v>
      </c>
      <c r="H10" s="31">
        <v>278.62</v>
      </c>
      <c r="I10" s="31">
        <v>151.63</v>
      </c>
      <c r="J10" s="31">
        <v>139.9</v>
      </c>
      <c r="K10" s="31">
        <v>183.96</v>
      </c>
      <c r="L10" s="31">
        <v>226.71</v>
      </c>
      <c r="M10" s="31">
        <v>273.36</v>
      </c>
      <c r="N10" s="66">
        <v>341.84</v>
      </c>
      <c r="O10" s="37">
        <v>423.83</v>
      </c>
      <c r="P10" s="38">
        <f t="shared" si="0"/>
        <v>3530.5200000000004</v>
      </c>
      <c r="Q10" s="39"/>
      <c r="R10" s="33">
        <f t="shared" si="1"/>
        <v>0.46301658745396751</v>
      </c>
      <c r="S10" s="34"/>
      <c r="T10" s="29">
        <f>SUM('2019'!O10,'2020'!D10:N10)</f>
        <v>3518.7900000000009</v>
      </c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2020</v>
      </c>
      <c r="B11" s="25" t="s">
        <v>32</v>
      </c>
      <c r="C11" s="30" t="s">
        <v>30</v>
      </c>
      <c r="D11" s="31">
        <f t="shared" ref="D11:O11" si="2">SUM(D9:D10)</f>
        <v>863.99</v>
      </c>
      <c r="E11" s="31">
        <f t="shared" si="2"/>
        <v>834.35</v>
      </c>
      <c r="F11" s="31">
        <f t="shared" si="2"/>
        <v>773.13</v>
      </c>
      <c r="G11" s="31">
        <f t="shared" si="2"/>
        <v>721.91000000000008</v>
      </c>
      <c r="H11" s="31">
        <f t="shared" si="2"/>
        <v>557.85</v>
      </c>
      <c r="I11" s="31">
        <f t="shared" si="2"/>
        <v>322.08</v>
      </c>
      <c r="J11" s="31">
        <f t="shared" si="2"/>
        <v>331.93</v>
      </c>
      <c r="K11" s="31">
        <f t="shared" si="2"/>
        <v>370.97</v>
      </c>
      <c r="L11" s="31">
        <f t="shared" si="2"/>
        <v>464.79</v>
      </c>
      <c r="M11" s="31">
        <f t="shared" si="2"/>
        <v>626.79999999999995</v>
      </c>
      <c r="N11" s="31">
        <f t="shared" si="2"/>
        <v>766.7</v>
      </c>
      <c r="O11" s="72">
        <f t="shared" si="2"/>
        <v>990.54</v>
      </c>
      <c r="P11" s="40">
        <f t="shared" si="0"/>
        <v>7625.04</v>
      </c>
      <c r="Q11" s="39"/>
      <c r="R11" s="33">
        <f t="shared" si="1"/>
        <v>1</v>
      </c>
      <c r="S11" s="34"/>
      <c r="T11" s="29">
        <f>SUM('2019'!O11,'2020'!D11:N11)</f>
        <v>7529.4600000000009</v>
      </c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2020</v>
      </c>
      <c r="B12" s="25" t="s">
        <v>33</v>
      </c>
      <c r="C12" s="30" t="s">
        <v>30</v>
      </c>
      <c r="D12" s="31">
        <f>(1119.54-805.18)</f>
        <v>314.36</v>
      </c>
      <c r="E12" s="31">
        <f>(1458.24-1119.54)</f>
        <v>338.70000000000005</v>
      </c>
      <c r="F12" s="31">
        <f>(1774.19-1458.24)</f>
        <v>315.95000000000005</v>
      </c>
      <c r="G12" s="31">
        <f>(1965.25-1774.19)</f>
        <v>191.05999999999995</v>
      </c>
      <c r="H12" s="31">
        <f>(2080.71-1965.25)</f>
        <v>115.46000000000004</v>
      </c>
      <c r="I12" s="31">
        <f>(2093.34-2080.71)</f>
        <v>12.630000000000109</v>
      </c>
      <c r="J12" s="31">
        <f>(2097.8-2093.34)</f>
        <v>4.4600000000000364</v>
      </c>
      <c r="K12" s="31">
        <f>(2104.08-2097.8)</f>
        <v>6.2799999999997453</v>
      </c>
      <c r="L12" s="31">
        <f>2153.73-2104.08</f>
        <v>49.650000000000091</v>
      </c>
      <c r="M12" s="31">
        <f>(2295.23-2153.73)</f>
        <v>141.5</v>
      </c>
      <c r="N12" s="31">
        <f>(2515.46-2295.23)</f>
        <v>220.23000000000002</v>
      </c>
      <c r="O12" s="31">
        <f>(2847.07-2515.46)</f>
        <v>331.61000000000013</v>
      </c>
      <c r="P12" s="31">
        <f t="shared" si="0"/>
        <v>2041.8900000000003</v>
      </c>
      <c r="Q12" s="39"/>
      <c r="R12" s="33">
        <f t="shared" si="1"/>
        <v>0.2677874476724057</v>
      </c>
      <c r="S12" s="34"/>
      <c r="T12" s="29">
        <f>SUM('2019'!O12,'2020'!D12:N12)</f>
        <v>2039.3009999999999</v>
      </c>
      <c r="U12" s="29"/>
      <c r="V12" s="2"/>
      <c r="W12" s="39"/>
      <c r="X12" s="11">
        <f>P12+'2019'!X12</f>
        <v>25016.930714285714</v>
      </c>
      <c r="Y12" s="2"/>
      <c r="Z12" s="11"/>
    </row>
    <row r="13" spans="1:26" ht="12.75" customHeight="1" x14ac:dyDescent="0.25">
      <c r="A13" s="24">
        <v>2020</v>
      </c>
      <c r="B13" s="41" t="s">
        <v>36</v>
      </c>
      <c r="C13" s="26" t="s">
        <v>138</v>
      </c>
      <c r="D13" s="31">
        <v>490</v>
      </c>
      <c r="E13" s="31">
        <v>499</v>
      </c>
      <c r="F13" s="31">
        <v>486</v>
      </c>
      <c r="G13" s="31">
        <v>395</v>
      </c>
      <c r="H13" s="31">
        <v>195</v>
      </c>
      <c r="I13" s="31">
        <v>0</v>
      </c>
      <c r="J13" s="31">
        <v>5</v>
      </c>
      <c r="K13" s="31">
        <v>11</v>
      </c>
      <c r="L13" s="31">
        <v>94</v>
      </c>
      <c r="M13" s="31">
        <v>279</v>
      </c>
      <c r="N13" s="31">
        <v>393</v>
      </c>
      <c r="O13" s="42">
        <v>520</v>
      </c>
      <c r="P13" s="31">
        <f t="shared" si="0"/>
        <v>3367</v>
      </c>
      <c r="Q13" s="36"/>
      <c r="R13" s="33">
        <f>(P13-P14)/P14</f>
        <v>-0.2180678123548537</v>
      </c>
      <c r="S13" s="2"/>
      <c r="T13" s="29">
        <f>SUM('2019'!O13,'2020'!D13:N13)</f>
        <v>3356.8039215686276</v>
      </c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2020</v>
      </c>
      <c r="B14" s="41" t="s">
        <v>39</v>
      </c>
      <c r="C14" s="26" t="s">
        <v>139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>
        <f>SUM('2019'!O14,'2020'!D14:N14)</f>
        <v>4306</v>
      </c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2020</v>
      </c>
      <c r="B15" s="25" t="s">
        <v>41</v>
      </c>
      <c r="C15" s="30" t="s">
        <v>30</v>
      </c>
      <c r="D15" s="31">
        <v>226.8</v>
      </c>
      <c r="E15" s="31">
        <v>208.2</v>
      </c>
      <c r="F15" s="31">
        <v>191</v>
      </c>
      <c r="G15" s="31">
        <v>211</v>
      </c>
      <c r="H15" s="31">
        <v>185</v>
      </c>
      <c r="I15" s="31">
        <v>132.1</v>
      </c>
      <c r="J15" s="31">
        <v>128.69999999999999</v>
      </c>
      <c r="K15" s="31">
        <v>172.3</v>
      </c>
      <c r="L15" s="31">
        <v>206.9</v>
      </c>
      <c r="M15" s="31">
        <v>209.9</v>
      </c>
      <c r="N15" s="31">
        <v>221.6</v>
      </c>
      <c r="O15" s="42">
        <v>236.6</v>
      </c>
      <c r="P15" s="31">
        <f t="shared" si="0"/>
        <v>2330.1</v>
      </c>
      <c r="Q15" s="2"/>
      <c r="R15" s="33">
        <f>P15/$P$11</f>
        <v>0.30558528217556891</v>
      </c>
      <c r="S15" s="2"/>
      <c r="T15" s="29">
        <f>SUM('2019'!O15,'2020'!D15:N15)</f>
        <v>2309.5</v>
      </c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2020</v>
      </c>
      <c r="B16" s="25" t="s">
        <v>42</v>
      </c>
      <c r="C16" s="30" t="s">
        <v>30</v>
      </c>
      <c r="D16" s="31">
        <f t="shared" ref="D16:O16" si="3">D12</f>
        <v>314.36</v>
      </c>
      <c r="E16" s="31">
        <f t="shared" si="3"/>
        <v>338.70000000000005</v>
      </c>
      <c r="F16" s="31">
        <f t="shared" si="3"/>
        <v>315.95000000000005</v>
      </c>
      <c r="G16" s="31">
        <f t="shared" si="3"/>
        <v>191.05999999999995</v>
      </c>
      <c r="H16" s="31">
        <f t="shared" si="3"/>
        <v>115.46000000000004</v>
      </c>
      <c r="I16" s="31">
        <f t="shared" si="3"/>
        <v>12.630000000000109</v>
      </c>
      <c r="J16" s="31">
        <f t="shared" si="3"/>
        <v>4.4600000000000364</v>
      </c>
      <c r="K16" s="31">
        <f t="shared" si="3"/>
        <v>6.2799999999997453</v>
      </c>
      <c r="L16" s="31">
        <f t="shared" si="3"/>
        <v>49.650000000000091</v>
      </c>
      <c r="M16" s="31">
        <f t="shared" si="3"/>
        <v>141.5</v>
      </c>
      <c r="N16" s="31">
        <f t="shared" si="3"/>
        <v>220.23000000000002</v>
      </c>
      <c r="O16" s="31">
        <f t="shared" si="3"/>
        <v>331.61000000000013</v>
      </c>
      <c r="P16" s="31">
        <f t="shared" si="0"/>
        <v>2041.8900000000003</v>
      </c>
      <c r="Q16" s="2"/>
      <c r="R16" s="11"/>
      <c r="S16" s="2"/>
      <c r="T16" s="29">
        <f>SUM('2019'!O16,'2020'!D16:N16)</f>
        <v>2039.3009999999999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2020</v>
      </c>
      <c r="B17" s="25" t="s">
        <v>43</v>
      </c>
      <c r="C17" s="30" t="s">
        <v>30</v>
      </c>
      <c r="D17" s="31">
        <f t="shared" ref="D17:H17" si="4">IF(D16&lt;0,0,((D14/D13))*D16)</f>
        <v>456.7843265306123</v>
      </c>
      <c r="E17" s="31">
        <f t="shared" si="4"/>
        <v>450.69498997995998</v>
      </c>
      <c r="F17" s="31">
        <f t="shared" si="4"/>
        <v>388.7615226337449</v>
      </c>
      <c r="G17" s="31">
        <f t="shared" si="4"/>
        <v>187.19043037974677</v>
      </c>
      <c r="H17" s="31">
        <f t="shared" si="4"/>
        <v>92.368000000000038</v>
      </c>
      <c r="I17" s="46">
        <f t="shared" ref="I17:K17" si="5">I16</f>
        <v>12.630000000000109</v>
      </c>
      <c r="J17" s="46">
        <f t="shared" si="5"/>
        <v>4.4600000000000364</v>
      </c>
      <c r="K17" s="46">
        <f t="shared" si="5"/>
        <v>6.2799999999997453</v>
      </c>
      <c r="L17" s="31">
        <f t="shared" ref="L17:O17" si="6">IF(L16&lt;0,0,((L14/L13))*L16)</f>
        <v>98.771808510638479</v>
      </c>
      <c r="M17" s="31">
        <f t="shared" si="6"/>
        <v>190.18817204301075</v>
      </c>
      <c r="N17" s="31">
        <f t="shared" si="6"/>
        <v>290.27770992366413</v>
      </c>
      <c r="O17" s="42">
        <f t="shared" si="6"/>
        <v>417.70105769230781</v>
      </c>
      <c r="P17" s="40">
        <f t="shared" si="0"/>
        <v>2596.1080176936848</v>
      </c>
      <c r="Q17" s="47"/>
      <c r="R17" s="39">
        <f>(P14-P13)/P14</f>
        <v>0.2180678123548537</v>
      </c>
      <c r="S17" s="39"/>
      <c r="T17" s="29">
        <f>SUM('2019'!O17,'2020'!D17:N17)</f>
        <v>2601.1356717321464</v>
      </c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27.870645161290323</v>
      </c>
      <c r="E20" s="4">
        <f t="shared" si="7"/>
        <v>28.770689655172415</v>
      </c>
      <c r="F20" s="4">
        <f t="shared" si="7"/>
        <v>24.93967741935484</v>
      </c>
      <c r="G20" s="4">
        <f t="shared" si="7"/>
        <v>24.06366666666667</v>
      </c>
      <c r="H20" s="4">
        <f t="shared" si="7"/>
        <v>17.995161290322581</v>
      </c>
      <c r="I20" s="4">
        <f t="shared" si="7"/>
        <v>10.735999999999999</v>
      </c>
      <c r="J20" s="4">
        <f t="shared" si="7"/>
        <v>10.707419354838709</v>
      </c>
      <c r="K20" s="4">
        <f t="shared" si="7"/>
        <v>11.966774193548387</v>
      </c>
      <c r="L20" s="4">
        <f t="shared" si="7"/>
        <v>15.493</v>
      </c>
      <c r="M20" s="4">
        <f t="shared" si="7"/>
        <v>20.219354838709677</v>
      </c>
      <c r="N20" s="4">
        <f t="shared" si="7"/>
        <v>25.556666666666668</v>
      </c>
      <c r="O20" s="4">
        <f t="shared" si="7"/>
        <v>31.952903225806452</v>
      </c>
      <c r="P20" s="4">
        <f>P11/365</f>
        <v>20.890520547945204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863.99</v>
      </c>
      <c r="E21" s="4">
        <f t="shared" ref="E21:O21" si="9">SUM($D$11:E11)</f>
        <v>1698.3400000000001</v>
      </c>
      <c r="F21" s="4">
        <f t="shared" si="9"/>
        <v>2471.4700000000003</v>
      </c>
      <c r="G21" s="4">
        <f t="shared" si="9"/>
        <v>3193.38</v>
      </c>
      <c r="H21" s="4">
        <f t="shared" si="9"/>
        <v>3751.23</v>
      </c>
      <c r="I21" s="4">
        <f t="shared" si="9"/>
        <v>4073.31</v>
      </c>
      <c r="J21" s="4">
        <f t="shared" si="9"/>
        <v>4405.24</v>
      </c>
      <c r="K21" s="4">
        <f t="shared" si="9"/>
        <v>4776.21</v>
      </c>
      <c r="L21" s="4">
        <f t="shared" si="9"/>
        <v>5241</v>
      </c>
      <c r="M21" s="4">
        <f t="shared" si="9"/>
        <v>5867.8</v>
      </c>
      <c r="N21" s="4">
        <f t="shared" si="9"/>
        <v>6634.5</v>
      </c>
      <c r="O21" s="4">
        <f t="shared" si="9"/>
        <v>7625.04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314.36</v>
      </c>
      <c r="E22" s="4">
        <f t="shared" ref="E22:O22" si="10">SUM($D$12:E12)</f>
        <v>653.06000000000006</v>
      </c>
      <c r="F22" s="4">
        <f t="shared" si="10"/>
        <v>969.0100000000001</v>
      </c>
      <c r="G22" s="4">
        <f t="shared" si="10"/>
        <v>1160.0700000000002</v>
      </c>
      <c r="H22" s="4">
        <f t="shared" si="10"/>
        <v>1275.5300000000002</v>
      </c>
      <c r="I22" s="4">
        <f t="shared" si="10"/>
        <v>1288.1600000000003</v>
      </c>
      <c r="J22" s="4">
        <f t="shared" si="10"/>
        <v>1292.6200000000003</v>
      </c>
      <c r="K22" s="4">
        <f t="shared" si="10"/>
        <v>1298.9000000000001</v>
      </c>
      <c r="L22" s="4">
        <f t="shared" si="10"/>
        <v>1348.5500000000002</v>
      </c>
      <c r="M22" s="4">
        <f t="shared" si="10"/>
        <v>1490.0500000000002</v>
      </c>
      <c r="N22" s="4">
        <f t="shared" si="10"/>
        <v>1710.2800000000002</v>
      </c>
      <c r="O22" s="4">
        <f t="shared" si="10"/>
        <v>2041.8900000000003</v>
      </c>
      <c r="P22" s="4"/>
      <c r="Q22" s="2"/>
      <c r="R22" s="45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314.36</v>
      </c>
      <c r="E23" s="4">
        <f t="shared" ref="E23:O23" si="11">SUM($D$16:E16)</f>
        <v>653.06000000000006</v>
      </c>
      <c r="F23" s="4">
        <f t="shared" si="11"/>
        <v>969.0100000000001</v>
      </c>
      <c r="G23" s="4">
        <f t="shared" si="11"/>
        <v>1160.0700000000002</v>
      </c>
      <c r="H23" s="4">
        <f t="shared" si="11"/>
        <v>1275.5300000000002</v>
      </c>
      <c r="I23" s="4">
        <f t="shared" si="11"/>
        <v>1288.1600000000003</v>
      </c>
      <c r="J23" s="4">
        <f t="shared" si="11"/>
        <v>1292.6200000000003</v>
      </c>
      <c r="K23" s="4">
        <f t="shared" si="11"/>
        <v>1298.9000000000001</v>
      </c>
      <c r="L23" s="4">
        <f t="shared" si="11"/>
        <v>1348.5500000000002</v>
      </c>
      <c r="M23" s="4">
        <f t="shared" si="11"/>
        <v>1490.0500000000002</v>
      </c>
      <c r="N23" s="4">
        <f t="shared" si="11"/>
        <v>1710.2800000000002</v>
      </c>
      <c r="O23" s="4">
        <f t="shared" si="11"/>
        <v>2041.8900000000003</v>
      </c>
      <c r="P23" s="4"/>
      <c r="Q23" s="2"/>
      <c r="R23" s="45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10.413870967741936</v>
      </c>
      <c r="E24" s="4">
        <f t="shared" si="12"/>
        <v>9.9120689655172409</v>
      </c>
      <c r="F24" s="4">
        <f t="shared" si="12"/>
        <v>8.5864516129032236</v>
      </c>
      <c r="G24" s="4">
        <f t="shared" si="12"/>
        <v>10.661666666666671</v>
      </c>
      <c r="H24" s="4">
        <f t="shared" si="12"/>
        <v>8.3029032258064515</v>
      </c>
      <c r="I24" s="4">
        <f t="shared" si="12"/>
        <v>5.9116666666666626</v>
      </c>
      <c r="J24" s="4">
        <f t="shared" si="12"/>
        <v>6.411935483870967</v>
      </c>
      <c r="K24" s="4">
        <f t="shared" si="12"/>
        <v>6.2061290322580733</v>
      </c>
      <c r="L24" s="4">
        <f t="shared" si="12"/>
        <v>6.9413333333333309</v>
      </c>
      <c r="M24" s="4">
        <f t="shared" si="12"/>
        <v>8.8838709677419345</v>
      </c>
      <c r="N24" s="4">
        <f t="shared" si="12"/>
        <v>10.829000000000001</v>
      </c>
      <c r="O24" s="4">
        <f t="shared" si="12"/>
        <v>13.623548387096768</v>
      </c>
      <c r="P24" s="10">
        <f>P11-P12-P15</f>
        <v>3253.0499999999997</v>
      </c>
      <c r="Q24" s="2"/>
      <c r="R24" s="43">
        <f>SUM(G11:O11)-SUM(G12:O12)-SUM(G15:O15)</f>
        <v>2376.5899999999997</v>
      </c>
      <c r="S24" s="2"/>
      <c r="T24" s="10">
        <f>R24-'2019'!R24</f>
        <v>222.30347826086881</v>
      </c>
      <c r="U24" s="29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D21+'2019'!$P$11-'2019'!D21</f>
        <v>7665.2899999999991</v>
      </c>
      <c r="E25" s="10">
        <f>E21+'2019'!$P$11-'2019'!E21</f>
        <v>7658.0499999999993</v>
      </c>
      <c r="F25" s="10">
        <f>F21+'2019'!$P$11-'2019'!F21</f>
        <v>7545.6500000000005</v>
      </c>
      <c r="G25" s="10">
        <f>G21+'2019'!$P$11-'2019'!G21</f>
        <v>7605.56</v>
      </c>
      <c r="H25" s="10">
        <f>H21+'2019'!$P$11-'2019'!H21</f>
        <v>7595.0999999999985</v>
      </c>
      <c r="I25" s="10">
        <f>I21+'2019'!$P$11-'2019'!I21</f>
        <v>7555.1999999999989</v>
      </c>
      <c r="J25" s="10">
        <f>J21+'2019'!$P$11-'2019'!J21</f>
        <v>7598.6799999999994</v>
      </c>
      <c r="K25" s="10">
        <f>K21+'2019'!$P$11-'2019'!K21</f>
        <v>7635.6099999999988</v>
      </c>
      <c r="L25" s="10">
        <f>L21+'2019'!$P$11-'2019'!L21</f>
        <v>7543.17</v>
      </c>
      <c r="M25" s="10">
        <f>M21+'2019'!$P$11-'2019'!M21</f>
        <v>7592.2199999999993</v>
      </c>
      <c r="N25" s="10">
        <f>N21+'2019'!$P$11-'2019'!N21</f>
        <v>7529.46</v>
      </c>
      <c r="O25" s="10">
        <f>O21+'2019'!$P$11-'2019'!O21</f>
        <v>7625.0400000000009</v>
      </c>
      <c r="P25" s="4"/>
      <c r="Q25" s="2"/>
      <c r="R25" s="29">
        <f>R24/SUM(G7:O7)</f>
        <v>8.642145454545453</v>
      </c>
      <c r="S25" s="2"/>
      <c r="T25" s="29">
        <f>T24/SUM(G7:O7)</f>
        <v>0.80837628458497746</v>
      </c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0.36384680378245121</v>
      </c>
      <c r="E27" s="51">
        <f t="shared" si="13"/>
        <v>0.40594474740816211</v>
      </c>
      <c r="F27" s="51">
        <f t="shared" si="13"/>
        <v>0.4086634847955713</v>
      </c>
      <c r="G27" s="51">
        <f t="shared" si="13"/>
        <v>0.26465902951891501</v>
      </c>
      <c r="H27" s="51">
        <f t="shared" si="13"/>
        <v>0.20697320068118674</v>
      </c>
      <c r="I27" s="51">
        <f t="shared" si="13"/>
        <v>3.9213859910581565E-2</v>
      </c>
      <c r="J27" s="51">
        <f t="shared" si="13"/>
        <v>1.3436567951074131E-2</v>
      </c>
      <c r="K27" s="51">
        <f t="shared" si="13"/>
        <v>1.6928592608566044E-2</v>
      </c>
      <c r="L27" s="51">
        <f t="shared" si="13"/>
        <v>0.10682243593881127</v>
      </c>
      <c r="M27" s="51">
        <f t="shared" si="13"/>
        <v>0.22574984045947671</v>
      </c>
      <c r="N27" s="51">
        <f t="shared" si="13"/>
        <v>0.28724403286813616</v>
      </c>
      <c r="O27" s="51">
        <f t="shared" si="13"/>
        <v>0.33477699032850783</v>
      </c>
      <c r="P27" s="51">
        <f t="shared" si="13"/>
        <v>0.2677874476724057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140</v>
      </c>
      <c r="D28" s="4">
        <f t="shared" ref="D28:H28" si="14">D16/D13</f>
        <v>0.64155102040816325</v>
      </c>
      <c r="E28" s="4">
        <f t="shared" si="14"/>
        <v>0.67875751503006021</v>
      </c>
      <c r="F28" s="4">
        <f t="shared" si="14"/>
        <v>0.65010288065843636</v>
      </c>
      <c r="G28" s="4">
        <f t="shared" si="14"/>
        <v>0.48369620253164541</v>
      </c>
      <c r="H28" s="4">
        <f t="shared" si="14"/>
        <v>0.59210256410256434</v>
      </c>
      <c r="I28" s="52"/>
      <c r="J28" s="52"/>
      <c r="K28" s="52"/>
      <c r="L28" s="4">
        <f t="shared" ref="L28:P28" si="15">L16/L13</f>
        <v>0.52819148936170313</v>
      </c>
      <c r="M28" s="4">
        <f t="shared" si="15"/>
        <v>0.50716845878136196</v>
      </c>
      <c r="N28" s="4">
        <f t="shared" si="15"/>
        <v>0.56038167938931305</v>
      </c>
      <c r="O28" s="4">
        <f t="shared" si="15"/>
        <v>0.63771153846153872</v>
      </c>
      <c r="P28" s="4">
        <f t="shared" si="15"/>
        <v>0.60644193644193656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10.140645161290323</v>
      </c>
      <c r="E29" s="4">
        <f t="shared" si="16"/>
        <v>11.679310344827588</v>
      </c>
      <c r="F29" s="4">
        <f t="shared" si="16"/>
        <v>10.191935483870969</v>
      </c>
      <c r="G29" s="4">
        <f t="shared" si="16"/>
        <v>6.3686666666666651</v>
      </c>
      <c r="H29" s="4">
        <f t="shared" si="16"/>
        <v>3.724516129032259</v>
      </c>
      <c r="I29" s="4">
        <f t="shared" si="16"/>
        <v>0.42100000000000365</v>
      </c>
      <c r="J29" s="4">
        <f t="shared" si="16"/>
        <v>0.14387096774193667</v>
      </c>
      <c r="K29" s="4">
        <f t="shared" si="16"/>
        <v>0.2025806451612821</v>
      </c>
      <c r="L29" s="4">
        <f t="shared" si="16"/>
        <v>1.6550000000000031</v>
      </c>
      <c r="M29" s="4">
        <f t="shared" si="16"/>
        <v>4.564516129032258</v>
      </c>
      <c r="N29" s="4">
        <f t="shared" si="16"/>
        <v>7.3410000000000002</v>
      </c>
      <c r="O29" s="4">
        <f t="shared" si="16"/>
        <v>10.697096774193552</v>
      </c>
      <c r="P29" s="4">
        <f t="shared" si="16"/>
        <v>5.5789344262295089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14.734978275181042</v>
      </c>
      <c r="E30" s="4">
        <f t="shared" si="17"/>
        <v>15.541206551033103</v>
      </c>
      <c r="F30" s="4">
        <f t="shared" si="17"/>
        <v>12.5406942785079</v>
      </c>
      <c r="G30" s="4">
        <f t="shared" si="17"/>
        <v>6.2396810126582256</v>
      </c>
      <c r="H30" s="4">
        <f t="shared" si="17"/>
        <v>2.9796129032258079</v>
      </c>
      <c r="I30" s="4">
        <f t="shared" si="17"/>
        <v>0.42100000000000365</v>
      </c>
      <c r="J30" s="4">
        <f t="shared" si="17"/>
        <v>0.14387096774193667</v>
      </c>
      <c r="K30" s="4">
        <f t="shared" si="17"/>
        <v>0.2025806451612821</v>
      </c>
      <c r="L30" s="4">
        <f t="shared" si="17"/>
        <v>3.2923936170212826</v>
      </c>
      <c r="M30" s="4">
        <f t="shared" si="17"/>
        <v>6.1351023239680886</v>
      </c>
      <c r="N30" s="4">
        <f t="shared" si="17"/>
        <v>9.6759236641221378</v>
      </c>
      <c r="O30" s="4">
        <f t="shared" si="17"/>
        <v>13.4742276674938</v>
      </c>
      <c r="P30" s="4">
        <f t="shared" si="17"/>
        <v>7.0931913051740025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141</v>
      </c>
      <c r="D31" s="4">
        <f t="shared" ref="D31:P31" si="18">D16/$F$4</f>
        <v>1.2994378306878307</v>
      </c>
      <c r="E31" s="4">
        <f t="shared" si="18"/>
        <v>1.4000496031746033</v>
      </c>
      <c r="F31" s="4">
        <f t="shared" si="18"/>
        <v>1.3060102513227514</v>
      </c>
      <c r="G31" s="4">
        <f t="shared" si="18"/>
        <v>0.78976521164021141</v>
      </c>
      <c r="H31" s="4">
        <f t="shared" si="18"/>
        <v>0.47726521164021174</v>
      </c>
      <c r="I31" s="4">
        <f t="shared" si="18"/>
        <v>5.2207341269841716E-2</v>
      </c>
      <c r="J31" s="4">
        <f t="shared" si="18"/>
        <v>1.8435846560846712E-2</v>
      </c>
      <c r="K31" s="4">
        <f t="shared" si="18"/>
        <v>2.5958994708993655E-2</v>
      </c>
      <c r="L31" s="4">
        <f t="shared" si="18"/>
        <v>0.20523313492063527</v>
      </c>
      <c r="M31" s="4">
        <f t="shared" si="18"/>
        <v>0.58490410052910047</v>
      </c>
      <c r="N31" s="4">
        <f t="shared" si="18"/>
        <v>0.91034226190476197</v>
      </c>
      <c r="O31" s="4">
        <f t="shared" si="18"/>
        <v>1.3707423941798946</v>
      </c>
      <c r="P31" s="4">
        <f t="shared" si="18"/>
        <v>8.4403521825396837</v>
      </c>
      <c r="Q31" s="2"/>
      <c r="R31" s="2"/>
      <c r="S31" s="2"/>
      <c r="T31" s="4">
        <f>T16/$F$4</f>
        <v>8.4296502976190464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142</v>
      </c>
      <c r="D32" s="4">
        <f t="shared" ref="D32:P32" si="19">D16/$F$3</f>
        <v>3.2745833333333336</v>
      </c>
      <c r="E32" s="4">
        <f t="shared" si="19"/>
        <v>3.5281250000000006</v>
      </c>
      <c r="F32" s="4">
        <f t="shared" si="19"/>
        <v>3.2911458333333337</v>
      </c>
      <c r="G32" s="4">
        <f t="shared" si="19"/>
        <v>1.9902083333333327</v>
      </c>
      <c r="H32" s="4">
        <f t="shared" si="19"/>
        <v>1.2027083333333337</v>
      </c>
      <c r="I32" s="4">
        <f t="shared" si="19"/>
        <v>0.13156250000000114</v>
      </c>
      <c r="J32" s="4">
        <f t="shared" si="19"/>
        <v>4.6458333333333712E-2</v>
      </c>
      <c r="K32" s="4">
        <f t="shared" si="19"/>
        <v>6.5416666666664014E-2</v>
      </c>
      <c r="L32" s="4">
        <f t="shared" si="19"/>
        <v>0.51718750000000091</v>
      </c>
      <c r="M32" s="4">
        <f t="shared" si="19"/>
        <v>1.4739583333333333</v>
      </c>
      <c r="N32" s="4">
        <f t="shared" si="19"/>
        <v>2.2940625000000003</v>
      </c>
      <c r="O32" s="4">
        <f t="shared" si="19"/>
        <v>3.4542708333333345</v>
      </c>
      <c r="P32" s="4">
        <f t="shared" si="19"/>
        <v>21.269687500000003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143</v>
      </c>
      <c r="D33" s="4">
        <f t="shared" ref="D33:P33" si="20">D17/$F$4</f>
        <v>1.8881627254076234</v>
      </c>
      <c r="E33" s="4">
        <f t="shared" si="20"/>
        <v>1.8629918567293318</v>
      </c>
      <c r="F33" s="4">
        <f t="shared" si="20"/>
        <v>1.6069838071831386</v>
      </c>
      <c r="G33" s="4">
        <f t="shared" si="20"/>
        <v>0.77376996684749821</v>
      </c>
      <c r="H33" s="4">
        <f t="shared" si="20"/>
        <v>0.38181216931216944</v>
      </c>
      <c r="I33" s="4">
        <f t="shared" si="20"/>
        <v>5.2207341269841716E-2</v>
      </c>
      <c r="J33" s="4">
        <f t="shared" si="20"/>
        <v>1.8435846560846712E-2</v>
      </c>
      <c r="K33" s="4">
        <f t="shared" si="20"/>
        <v>2.5958994708993655E-2</v>
      </c>
      <c r="L33" s="4">
        <f t="shared" si="20"/>
        <v>0.40828293861871062</v>
      </c>
      <c r="M33" s="4">
        <f t="shared" si="20"/>
        <v>0.78616142544233936</v>
      </c>
      <c r="N33" s="4">
        <f t="shared" si="20"/>
        <v>1.1998913273960983</v>
      </c>
      <c r="O33" s="4">
        <f t="shared" si="20"/>
        <v>1.726608208053521</v>
      </c>
      <c r="P33" s="4">
        <f t="shared" si="20"/>
        <v>10.731266607530111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144</v>
      </c>
      <c r="D34" s="4">
        <f t="shared" ref="D34:P34" si="21">D17/$F$3</f>
        <v>4.7581700680272112</v>
      </c>
      <c r="E34" s="4">
        <f t="shared" si="21"/>
        <v>4.6947394789579162</v>
      </c>
      <c r="F34" s="4">
        <f t="shared" si="21"/>
        <v>4.0495991941015097</v>
      </c>
      <c r="G34" s="4">
        <f t="shared" si="21"/>
        <v>1.9499003164556956</v>
      </c>
      <c r="H34" s="4">
        <f t="shared" si="21"/>
        <v>0.96216666666666706</v>
      </c>
      <c r="I34" s="4">
        <f t="shared" si="21"/>
        <v>0.13156250000000114</v>
      </c>
      <c r="J34" s="4">
        <f t="shared" si="21"/>
        <v>4.6458333333333712E-2</v>
      </c>
      <c r="K34" s="4">
        <f t="shared" si="21"/>
        <v>6.5416666666664014E-2</v>
      </c>
      <c r="L34" s="4">
        <f t="shared" si="21"/>
        <v>1.0288730053191508</v>
      </c>
      <c r="M34" s="4">
        <f t="shared" si="21"/>
        <v>1.9811267921146953</v>
      </c>
      <c r="N34" s="4">
        <f t="shared" si="21"/>
        <v>3.0237261450381681</v>
      </c>
      <c r="O34" s="4">
        <f t="shared" si="21"/>
        <v>4.3510526842948734</v>
      </c>
      <c r="P34" s="4">
        <f t="shared" si="21"/>
        <v>27.042791850975885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145</v>
      </c>
      <c r="D35" s="4">
        <f t="shared" ref="D35:H35" si="22">1000*D31/D13</f>
        <v>2.6519139401792464</v>
      </c>
      <c r="E35" s="4">
        <f t="shared" si="22"/>
        <v>2.8057106276044155</v>
      </c>
      <c r="F35" s="4">
        <f t="shared" si="22"/>
        <v>2.6872638916105998</v>
      </c>
      <c r="G35" s="4">
        <f t="shared" si="22"/>
        <v>1.9994055990891428</v>
      </c>
      <c r="H35" s="4">
        <f t="shared" si="22"/>
        <v>2.4475139058472397</v>
      </c>
      <c r="I35" s="52"/>
      <c r="J35" s="52"/>
      <c r="K35" s="52"/>
      <c r="L35" s="4">
        <f t="shared" ref="L35:P35" si="23">1000*L31/L13</f>
        <v>2.1833312225599499</v>
      </c>
      <c r="M35" s="4">
        <f t="shared" si="23"/>
        <v>2.096430467846238</v>
      </c>
      <c r="N35" s="4">
        <f t="shared" si="23"/>
        <v>2.3163925239306917</v>
      </c>
      <c r="O35" s="4">
        <f t="shared" si="23"/>
        <v>2.6360430657305662</v>
      </c>
      <c r="P35" s="4">
        <f t="shared" si="23"/>
        <v>2.5067871050013912</v>
      </c>
      <c r="Q35" s="2"/>
      <c r="R35" s="2"/>
      <c r="S35" s="2"/>
      <c r="T35" s="4">
        <f>1000*T31/T13</f>
        <v>2.5112131940312699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56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56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73</v>
      </c>
      <c r="C46" s="2"/>
      <c r="D46" s="4">
        <v>3.63</v>
      </c>
      <c r="E46" s="4">
        <v>3.21</v>
      </c>
      <c r="F46" s="4">
        <v>2.77</v>
      </c>
      <c r="G46" s="4">
        <v>2.56</v>
      </c>
      <c r="H46" s="4">
        <v>2.62</v>
      </c>
      <c r="I46" s="4">
        <v>3.8</v>
      </c>
      <c r="J46" s="4">
        <v>2.63</v>
      </c>
      <c r="K46" s="4">
        <v>5.29</v>
      </c>
      <c r="L46" s="4">
        <v>4.93</v>
      </c>
      <c r="M46" s="4">
        <v>3.93</v>
      </c>
      <c r="N46" s="4">
        <v>3.68</v>
      </c>
      <c r="O46" s="4">
        <v>5.23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(SUMPRODUCT($D$46:D46,$D$11:D11)+SUMPRODUCT('2019'!E$46:$O46,'2019'!E$11:$O11))/(D21+SUM('2019'!E$11:$O11))</f>
        <v>5.2724490658539995</v>
      </c>
      <c r="E48" s="18">
        <f>(SUMPRODUCT($D$46:E46,$D$11:E11)+SUMPRODUCT('2019'!F$46:$O46,'2019'!F$11:$O11))/(E21+SUM('2019'!F$11:$O11))</f>
        <v>4.9557001717147307</v>
      </c>
      <c r="F48" s="18">
        <f>(SUMPRODUCT($D$46:F46,$D$11:F11)+SUMPRODUCT('2019'!G$46:$O46,'2019'!G$11:$O11))/(F21+SUM('2019'!G$11:$O11))</f>
        <v>4.6925203395333739</v>
      </c>
      <c r="G48" s="18">
        <f>(SUMPRODUCT($D$46:G46,$D$11:G11)+SUMPRODUCT('2019'!H$46:$O46,'2019'!H$11:$O11))/(G21+SUM('2019'!H$11:$O11))</f>
        <v>4.4354874197297756</v>
      </c>
      <c r="H48" s="18">
        <f>(SUMPRODUCT($D$46:H46,$D$11:H11)+SUMPRODUCT('2019'!I$46:$O46,'2019'!I$11:$O11))/(H21+SUM('2019'!I$11:$O11))</f>
        <v>4.2748673091861855</v>
      </c>
      <c r="I48" s="18">
        <f>(SUMPRODUCT($D$46:I46,$D$11:I11)+SUMPRODUCT('2019'!J$46:$O46,'2019'!J$11:$O11))/(I21+SUM('2019'!J$11:$O11))</f>
        <v>4.2864783063320626</v>
      </c>
      <c r="J48" s="18">
        <f>(SUMPRODUCT($D$46:J46,$D$11:J11)+SUMPRODUCT('2019'!K$46:$O46,'2019'!K$11:$O11))/(J21+SUM('2019'!K$11:$O11))</f>
        <v>4.1593221849057995</v>
      </c>
      <c r="K48" s="18">
        <f>(SUMPRODUCT($D$46:K46,$D$11:K11)+SUMPRODUCT('2019'!L$46:$O46,'2019'!L$11:$O11))/(K21+SUM('2019'!L$11:$O11))</f>
        <v>4.1324175016796296</v>
      </c>
      <c r="L48" s="18">
        <f>(SUMPRODUCT($D$46:L46,$D$11:L11)+SUMPRODUCT('2019'!M$46:$O46,'2019'!M$11:$O11))/(L21+SUM('2019'!M$11:$O11))</f>
        <v>4.0391677901996115</v>
      </c>
      <c r="M48" s="18">
        <f>(SUMPRODUCT($D$46:M46,$D$11:M11)+SUMPRODUCT('2019'!N$46:$O46,'2019'!N$11:$O11))/(M21+SUM('2019'!N$11:$O11))</f>
        <v>3.8847452787195316</v>
      </c>
      <c r="N48" s="18">
        <f>(SUMPRODUCT($D$46:N46,$D$11:N11)+SUMPRODUCT('2019'!O$46:$O46,'2019'!O$11:$O11))/(N21+SUM('2019'!O$11:$O11))</f>
        <v>3.6429939730073606</v>
      </c>
      <c r="O48" s="18">
        <f>(SUMPRODUCT($D$46:O46,$D$11:O11))/(O21)</f>
        <v>3.6828402211660536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3">
      <c r="A50" s="2"/>
      <c r="B50" s="65" t="s">
        <v>121</v>
      </c>
      <c r="C50" s="2"/>
      <c r="D50" s="4">
        <v>3.7678400000000001</v>
      </c>
      <c r="E50" s="4">
        <v>3.4293200000000001</v>
      </c>
      <c r="F50" s="4">
        <v>2.9271199999999999</v>
      </c>
      <c r="G50" s="4">
        <v>2.8576800000000002</v>
      </c>
      <c r="H50" s="4">
        <v>2.81304</v>
      </c>
      <c r="I50" s="4">
        <v>3.9042400000000002</v>
      </c>
      <c r="J50" s="4">
        <v>2.90604</v>
      </c>
      <c r="K50" s="4">
        <v>5.4282000000000004</v>
      </c>
      <c r="L50" s="4">
        <v>5.0909199999999997</v>
      </c>
      <c r="M50" s="4">
        <v>4.2539199999999999</v>
      </c>
      <c r="N50" s="4">
        <v>3.8248799999999998</v>
      </c>
      <c r="O50" s="4">
        <v>5.2670000000000003</v>
      </c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900-000000000000}"/>
    <hyperlink ref="R2" r:id="rId2" location="lammitystarvelukus" xr:uid="{00000000-0004-0000-0900-000001000000}"/>
    <hyperlink ref="R3" r:id="rId3" location="!/" xr:uid="{00000000-0004-0000-0900-000002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8.44140625" customWidth="1"/>
    <col min="18" max="19" width="6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146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10.700760869565217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147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2019</v>
      </c>
      <c r="B8" s="25" t="s">
        <v>27</v>
      </c>
      <c r="C8" s="26" t="s">
        <v>148</v>
      </c>
      <c r="D8" s="27">
        <v>-7.5</v>
      </c>
      <c r="E8" s="27">
        <v>-0.9</v>
      </c>
      <c r="F8" s="27">
        <v>-1</v>
      </c>
      <c r="G8" s="27">
        <v>5.6</v>
      </c>
      <c r="H8" s="27">
        <v>9.9</v>
      </c>
      <c r="I8" s="27">
        <v>16.899999999999999</v>
      </c>
      <c r="J8" s="27">
        <v>16.3</v>
      </c>
      <c r="K8" s="27">
        <v>15.5</v>
      </c>
      <c r="L8" s="27">
        <v>9.9</v>
      </c>
      <c r="M8" s="27">
        <v>4.3</v>
      </c>
      <c r="N8" s="27">
        <v>0.9</v>
      </c>
      <c r="O8" s="28">
        <v>0.7</v>
      </c>
      <c r="P8" s="27">
        <f>AVERAGE(D8:O8)</f>
        <v>5.8833333333333337</v>
      </c>
      <c r="Q8" s="2"/>
      <c r="R8" s="29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2019</v>
      </c>
      <c r="B9" s="25" t="s">
        <v>29</v>
      </c>
      <c r="C9" s="30" t="s">
        <v>30</v>
      </c>
      <c r="D9" s="31">
        <v>678.44</v>
      </c>
      <c r="E9" s="31">
        <v>448.64</v>
      </c>
      <c r="F9" s="31">
        <v>461.42</v>
      </c>
      <c r="G9" s="31">
        <v>300.83</v>
      </c>
      <c r="H9" s="31">
        <v>261.72000000000003</v>
      </c>
      <c r="I9" s="31">
        <v>187.31</v>
      </c>
      <c r="J9" s="31">
        <v>161.13</v>
      </c>
      <c r="K9" s="31">
        <v>163.66999999999999</v>
      </c>
      <c r="L9" s="31">
        <v>291.13</v>
      </c>
      <c r="M9" s="31">
        <v>322.43</v>
      </c>
      <c r="N9" s="31">
        <v>446.57</v>
      </c>
      <c r="O9" s="32">
        <v>482.86</v>
      </c>
      <c r="P9" s="31">
        <f t="shared" ref="P9:P17" si="0">SUM(D9:O9)</f>
        <v>4206.1500000000005</v>
      </c>
      <c r="Q9" s="2"/>
      <c r="R9" s="33">
        <f t="shared" ref="R9:R13" si="1">P9/$P$11</f>
        <v>0.5242464693147274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2019</v>
      </c>
      <c r="B10" s="25" t="s">
        <v>31</v>
      </c>
      <c r="C10" s="30" t="s">
        <v>30</v>
      </c>
      <c r="D10" s="31">
        <v>543.49</v>
      </c>
      <c r="E10" s="31">
        <v>392.95</v>
      </c>
      <c r="F10" s="31">
        <v>424.11</v>
      </c>
      <c r="G10" s="31">
        <v>361.17</v>
      </c>
      <c r="H10" s="31">
        <v>306.58999999999997</v>
      </c>
      <c r="I10" s="31">
        <v>174.67</v>
      </c>
      <c r="J10" s="31">
        <v>127.32</v>
      </c>
      <c r="K10" s="31">
        <v>170.37</v>
      </c>
      <c r="L10" s="31">
        <v>266.10000000000002</v>
      </c>
      <c r="M10" s="31">
        <v>255.32</v>
      </c>
      <c r="N10" s="66">
        <v>382.89</v>
      </c>
      <c r="O10" s="37">
        <v>412.1</v>
      </c>
      <c r="P10" s="38">
        <f t="shared" si="0"/>
        <v>3817.08</v>
      </c>
      <c r="Q10" s="39"/>
      <c r="R10" s="33">
        <f t="shared" si="1"/>
        <v>0.47575353068527265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2019</v>
      </c>
      <c r="B11" s="25" t="s">
        <v>32</v>
      </c>
      <c r="C11" s="30" t="s">
        <v>30</v>
      </c>
      <c r="D11" s="31">
        <f t="shared" ref="D11:O11" si="2">SUM(D9:D10)</f>
        <v>1221.93</v>
      </c>
      <c r="E11" s="31">
        <f t="shared" si="2"/>
        <v>841.58999999999992</v>
      </c>
      <c r="F11" s="31">
        <f t="shared" si="2"/>
        <v>885.53</v>
      </c>
      <c r="G11" s="31">
        <f t="shared" si="2"/>
        <v>662</v>
      </c>
      <c r="H11" s="31">
        <f t="shared" si="2"/>
        <v>568.30999999999995</v>
      </c>
      <c r="I11" s="31">
        <f t="shared" si="2"/>
        <v>361.98</v>
      </c>
      <c r="J11" s="31">
        <f t="shared" si="2"/>
        <v>288.45</v>
      </c>
      <c r="K11" s="31">
        <f t="shared" si="2"/>
        <v>334.03999999999996</v>
      </c>
      <c r="L11" s="31">
        <f t="shared" si="2"/>
        <v>557.23</v>
      </c>
      <c r="M11" s="31">
        <f t="shared" si="2"/>
        <v>577.75</v>
      </c>
      <c r="N11" s="31">
        <f t="shared" si="2"/>
        <v>829.46</v>
      </c>
      <c r="O11" s="72">
        <f t="shared" si="2"/>
        <v>894.96</v>
      </c>
      <c r="P11" s="40">
        <f t="shared" si="0"/>
        <v>8023.23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2019</v>
      </c>
      <c r="B12" s="25" t="s">
        <v>33</v>
      </c>
      <c r="C12" s="30" t="s">
        <v>30</v>
      </c>
      <c r="D12" s="31">
        <f>(7217.85-6565.26)</f>
        <v>652.59000000000015</v>
      </c>
      <c r="E12" s="31">
        <f>(7599.62-7217.85)</f>
        <v>381.76999999999953</v>
      </c>
      <c r="F12" s="31">
        <f>(7955.63-7599.62)</f>
        <v>356.01000000000022</v>
      </c>
      <c r="G12" s="31">
        <f>(8134.76-7955.63)</f>
        <v>179.13000000000011</v>
      </c>
      <c r="H12" s="31">
        <f>(8252.36-8134.76)</f>
        <v>117.60000000000036</v>
      </c>
      <c r="I12" s="31">
        <f>(8265.04-8252.36)</f>
        <v>12.680000000000291</v>
      </c>
      <c r="J12" s="31">
        <f>(8288.17-8265.04)</f>
        <v>23.1299999999992</v>
      </c>
      <c r="K12" s="31">
        <f>(8297.31-8288.17)</f>
        <v>9.1399999999994179</v>
      </c>
      <c r="L12" s="31">
        <f>(8393.36-8297.31)</f>
        <v>96.050000000001091</v>
      </c>
      <c r="M12" s="31">
        <f>(153.371+20+(8404.8-8393.36))</f>
        <v>184.8109999999987</v>
      </c>
      <c r="N12" s="31">
        <f>(476.159-153.371)</f>
        <v>322.78800000000001</v>
      </c>
      <c r="O12" s="31">
        <f>(805.18-476.159)</f>
        <v>329.02099999999996</v>
      </c>
      <c r="P12" s="31">
        <f t="shared" si="0"/>
        <v>2664.7199999999993</v>
      </c>
      <c r="Q12" s="39"/>
      <c r="R12" s="33">
        <f t="shared" si="1"/>
        <v>0.33212559031711658</v>
      </c>
      <c r="S12" s="34"/>
      <c r="T12" s="29"/>
      <c r="U12" s="29"/>
      <c r="V12" s="2"/>
      <c r="W12" s="36"/>
      <c r="X12" s="11">
        <f>P12+'2018'!X12</f>
        <v>22975.040714285715</v>
      </c>
      <c r="Y12" s="2"/>
      <c r="Z12" s="11"/>
    </row>
    <row r="13" spans="1:26" ht="12.75" customHeight="1" x14ac:dyDescent="0.25">
      <c r="A13" s="24">
        <v>2019</v>
      </c>
      <c r="B13" s="41" t="s">
        <v>36</v>
      </c>
      <c r="C13" s="26" t="s">
        <v>149</v>
      </c>
      <c r="D13" s="31">
        <f>780/1.02</f>
        <v>764.70588235294122</v>
      </c>
      <c r="E13" s="31">
        <f>514/1.02</f>
        <v>503.92156862745099</v>
      </c>
      <c r="F13" s="31">
        <f>568/1.02</f>
        <v>556.86274509803923</v>
      </c>
      <c r="G13" s="31">
        <f>319/1.02</f>
        <v>312.74509803921569</v>
      </c>
      <c r="H13" s="42">
        <f>161/1.02</f>
        <v>157.84313725490196</v>
      </c>
      <c r="I13" s="31">
        <v>0</v>
      </c>
      <c r="J13" s="31">
        <f>11/1.02</f>
        <v>10.784313725490195</v>
      </c>
      <c r="K13" s="31">
        <v>0</v>
      </c>
      <c r="L13" s="31">
        <f>180/1.02</f>
        <v>176.47058823529412</v>
      </c>
      <c r="M13" s="31">
        <f>398/1.02</f>
        <v>390.19607843137254</v>
      </c>
      <c r="N13" s="31">
        <f>488/1.02</f>
        <v>478.43137254901961</v>
      </c>
      <c r="O13" s="42">
        <f>520/1.02</f>
        <v>509.80392156862746</v>
      </c>
      <c r="P13" s="31">
        <f t="shared" si="0"/>
        <v>3861.7647058823532</v>
      </c>
      <c r="Q13" s="36"/>
      <c r="R13" s="33">
        <f t="shared" si="1"/>
        <v>0.48132294672873061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2019</v>
      </c>
      <c r="B14" s="41" t="s">
        <v>39</v>
      </c>
      <c r="C14" s="26" t="s">
        <v>150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2019</v>
      </c>
      <c r="B15" s="25" t="s">
        <v>41</v>
      </c>
      <c r="C15" s="30" t="s">
        <v>30</v>
      </c>
      <c r="D15" s="31">
        <v>227.5</v>
      </c>
      <c r="E15" s="31">
        <v>186.63</v>
      </c>
      <c r="F15" s="31">
        <v>200.62</v>
      </c>
      <c r="G15" s="31">
        <v>217.3</v>
      </c>
      <c r="H15" s="31">
        <f>141/23*31</f>
        <v>190.04347826086956</v>
      </c>
      <c r="I15" s="31">
        <v>240</v>
      </c>
      <c r="J15" s="31">
        <v>36.799999999999997</v>
      </c>
      <c r="K15" s="31">
        <v>161.19999999999999</v>
      </c>
      <c r="L15" s="31">
        <v>202.5</v>
      </c>
      <c r="M15" s="31">
        <v>170.3</v>
      </c>
      <c r="N15" s="31">
        <v>211.4</v>
      </c>
      <c r="O15" s="42">
        <v>216</v>
      </c>
      <c r="P15" s="31">
        <f t="shared" si="0"/>
        <v>2260.2934782608695</v>
      </c>
      <c r="Q15" s="2"/>
      <c r="R15" s="33">
        <f>P15/$P$11</f>
        <v>0.2817186442693117</v>
      </c>
      <c r="S15" s="2"/>
      <c r="T15" s="29"/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2019</v>
      </c>
      <c r="B16" s="25" t="s">
        <v>42</v>
      </c>
      <c r="C16" s="30" t="s">
        <v>30</v>
      </c>
      <c r="D16" s="31">
        <f t="shared" ref="D16:O16" si="3">D12</f>
        <v>652.59000000000015</v>
      </c>
      <c r="E16" s="31">
        <f t="shared" si="3"/>
        <v>381.76999999999953</v>
      </c>
      <c r="F16" s="31">
        <f t="shared" si="3"/>
        <v>356.01000000000022</v>
      </c>
      <c r="G16" s="31">
        <f t="shared" si="3"/>
        <v>179.13000000000011</v>
      </c>
      <c r="H16" s="31">
        <f t="shared" si="3"/>
        <v>117.60000000000036</v>
      </c>
      <c r="I16" s="31">
        <f t="shared" si="3"/>
        <v>12.680000000000291</v>
      </c>
      <c r="J16" s="31">
        <f t="shared" si="3"/>
        <v>23.1299999999992</v>
      </c>
      <c r="K16" s="31">
        <f t="shared" si="3"/>
        <v>9.1399999999994179</v>
      </c>
      <c r="L16" s="31">
        <f t="shared" si="3"/>
        <v>96.050000000001091</v>
      </c>
      <c r="M16" s="31">
        <f t="shared" si="3"/>
        <v>184.8109999999987</v>
      </c>
      <c r="N16" s="31">
        <f t="shared" si="3"/>
        <v>322.78800000000001</v>
      </c>
      <c r="O16" s="31">
        <f t="shared" si="3"/>
        <v>329.02099999999996</v>
      </c>
      <c r="P16" s="31">
        <f t="shared" si="0"/>
        <v>2664.7199999999993</v>
      </c>
      <c r="Q16" s="2"/>
      <c r="R16" s="11"/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2019</v>
      </c>
      <c r="B17" s="25" t="s">
        <v>43</v>
      </c>
      <c r="C17" s="30" t="s">
        <v>30</v>
      </c>
      <c r="D17" s="31">
        <f t="shared" ref="D17:H17" si="4">IF(D16&lt;0,0,((D14/D13))*D16)</f>
        <v>607.61148923076928</v>
      </c>
      <c r="E17" s="31">
        <f t="shared" si="4"/>
        <v>503.04510817120564</v>
      </c>
      <c r="F17" s="31">
        <f t="shared" si="4"/>
        <v>382.3096119718312</v>
      </c>
      <c r="G17" s="31">
        <f t="shared" si="4"/>
        <v>221.66074043887161</v>
      </c>
      <c r="H17" s="31">
        <f t="shared" si="4"/>
        <v>116.226782608696</v>
      </c>
      <c r="I17" s="46">
        <f t="shared" ref="I17:K17" si="5">I16</f>
        <v>12.680000000000291</v>
      </c>
      <c r="J17" s="46">
        <f t="shared" si="5"/>
        <v>23.1299999999992</v>
      </c>
      <c r="K17" s="46">
        <f t="shared" si="5"/>
        <v>9.1399999999994179</v>
      </c>
      <c r="L17" s="31">
        <f t="shared" ref="L17:O17" si="6">IF(L16&lt;0,0,((L14/L13))*L16)</f>
        <v>101.7809833333345</v>
      </c>
      <c r="M17" s="31">
        <f t="shared" si="6"/>
        <v>177.61358668341583</v>
      </c>
      <c r="N17" s="31">
        <f t="shared" si="6"/>
        <v>349.48415508196717</v>
      </c>
      <c r="O17" s="42">
        <f t="shared" si="6"/>
        <v>422.72871173076919</v>
      </c>
      <c r="P17" s="40">
        <f t="shared" si="0"/>
        <v>2927.4111692508591</v>
      </c>
      <c r="Q17" s="47"/>
      <c r="R17" s="39">
        <f>(P14-P13)/P14</f>
        <v>0.10316658014808333</v>
      </c>
      <c r="S17" s="39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39.417096774193553</v>
      </c>
      <c r="E20" s="4">
        <f t="shared" si="7"/>
        <v>30.056785714285713</v>
      </c>
      <c r="F20" s="4">
        <f t="shared" si="7"/>
        <v>28.565483870967743</v>
      </c>
      <c r="G20" s="4">
        <f t="shared" si="7"/>
        <v>22.066666666666666</v>
      </c>
      <c r="H20" s="4">
        <f t="shared" si="7"/>
        <v>18.33258064516129</v>
      </c>
      <c r="I20" s="4">
        <f t="shared" si="7"/>
        <v>12.066000000000001</v>
      </c>
      <c r="J20" s="4">
        <f t="shared" si="7"/>
        <v>9.3048387096774192</v>
      </c>
      <c r="K20" s="4">
        <f t="shared" si="7"/>
        <v>10.77548387096774</v>
      </c>
      <c r="L20" s="4">
        <f t="shared" si="7"/>
        <v>18.574333333333335</v>
      </c>
      <c r="M20" s="4">
        <f t="shared" si="7"/>
        <v>18.637096774193548</v>
      </c>
      <c r="N20" s="4">
        <f t="shared" si="7"/>
        <v>27.648666666666667</v>
      </c>
      <c r="O20" s="4">
        <f t="shared" si="7"/>
        <v>28.86967741935484</v>
      </c>
      <c r="P20" s="4">
        <f>P11/365</f>
        <v>21.98145205479452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1221.93</v>
      </c>
      <c r="E21" s="4">
        <f t="shared" ref="E21:O21" si="9">SUM($D$11:E11)</f>
        <v>2063.52</v>
      </c>
      <c r="F21" s="4">
        <f t="shared" si="9"/>
        <v>2949.05</v>
      </c>
      <c r="G21" s="4">
        <f t="shared" si="9"/>
        <v>3611.05</v>
      </c>
      <c r="H21" s="4">
        <f t="shared" si="9"/>
        <v>4179.3600000000006</v>
      </c>
      <c r="I21" s="4">
        <f t="shared" si="9"/>
        <v>4541.34</v>
      </c>
      <c r="J21" s="4">
        <f t="shared" si="9"/>
        <v>4829.79</v>
      </c>
      <c r="K21" s="4">
        <f t="shared" si="9"/>
        <v>5163.83</v>
      </c>
      <c r="L21" s="4">
        <f t="shared" si="9"/>
        <v>5721.0599999999995</v>
      </c>
      <c r="M21" s="4">
        <f t="shared" si="9"/>
        <v>6298.8099999999995</v>
      </c>
      <c r="N21" s="4">
        <f t="shared" si="9"/>
        <v>7128.2699999999995</v>
      </c>
      <c r="O21" s="4">
        <f t="shared" si="9"/>
        <v>8023.23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652.59000000000015</v>
      </c>
      <c r="E22" s="4">
        <f t="shared" ref="E22:O22" si="10">SUM($D$12:E12)</f>
        <v>1034.3599999999997</v>
      </c>
      <c r="F22" s="4">
        <f t="shared" si="10"/>
        <v>1390.37</v>
      </c>
      <c r="G22" s="4">
        <f t="shared" si="10"/>
        <v>1569.5</v>
      </c>
      <c r="H22" s="4">
        <f t="shared" si="10"/>
        <v>1687.1000000000004</v>
      </c>
      <c r="I22" s="4">
        <f t="shared" si="10"/>
        <v>1699.7800000000007</v>
      </c>
      <c r="J22" s="4">
        <f t="shared" si="10"/>
        <v>1722.9099999999999</v>
      </c>
      <c r="K22" s="4">
        <f t="shared" si="10"/>
        <v>1732.0499999999993</v>
      </c>
      <c r="L22" s="4">
        <f t="shared" si="10"/>
        <v>1828.1000000000004</v>
      </c>
      <c r="M22" s="4">
        <f t="shared" si="10"/>
        <v>2012.9109999999991</v>
      </c>
      <c r="N22" s="4">
        <f t="shared" si="10"/>
        <v>2335.6989999999992</v>
      </c>
      <c r="O22" s="4">
        <f t="shared" si="10"/>
        <v>2664.7199999999993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652.59000000000015</v>
      </c>
      <c r="E23" s="4">
        <f t="shared" ref="E23:O23" si="11">SUM($D$16:E16)</f>
        <v>1034.3599999999997</v>
      </c>
      <c r="F23" s="4">
        <f t="shared" si="11"/>
        <v>1390.37</v>
      </c>
      <c r="G23" s="4">
        <f t="shared" si="11"/>
        <v>1569.5</v>
      </c>
      <c r="H23" s="4">
        <f t="shared" si="11"/>
        <v>1687.1000000000004</v>
      </c>
      <c r="I23" s="4">
        <f t="shared" si="11"/>
        <v>1699.7800000000007</v>
      </c>
      <c r="J23" s="4">
        <f t="shared" si="11"/>
        <v>1722.9099999999999</v>
      </c>
      <c r="K23" s="4">
        <f t="shared" si="11"/>
        <v>1732.0499999999993</v>
      </c>
      <c r="L23" s="4">
        <f t="shared" si="11"/>
        <v>1828.1000000000004</v>
      </c>
      <c r="M23" s="4">
        <f t="shared" si="11"/>
        <v>2012.9109999999991</v>
      </c>
      <c r="N23" s="4">
        <f t="shared" si="11"/>
        <v>2335.6989999999992</v>
      </c>
      <c r="O23" s="4">
        <f t="shared" si="11"/>
        <v>2664.7199999999993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11.027096774193545</v>
      </c>
      <c r="E24" s="4">
        <f t="shared" si="12"/>
        <v>9.7567857142857282</v>
      </c>
      <c r="F24" s="4">
        <f t="shared" si="12"/>
        <v>10.609677419354831</v>
      </c>
      <c r="G24" s="4">
        <f t="shared" si="12"/>
        <v>8.8523333333333287</v>
      </c>
      <c r="H24" s="4">
        <f t="shared" si="12"/>
        <v>8.4085974754558066</v>
      </c>
      <c r="I24" s="4">
        <f t="shared" si="12"/>
        <v>3.6433333333333242</v>
      </c>
      <c r="J24" s="4">
        <f t="shared" si="12"/>
        <v>7.3716129032258317</v>
      </c>
      <c r="K24" s="4">
        <f t="shared" si="12"/>
        <v>5.2806451612903409</v>
      </c>
      <c r="L24" s="4">
        <f t="shared" si="12"/>
        <v>8.6226666666666301</v>
      </c>
      <c r="M24" s="4">
        <f t="shared" si="12"/>
        <v>7.1819032258064945</v>
      </c>
      <c r="N24" s="4">
        <f t="shared" si="12"/>
        <v>9.8424000000000014</v>
      </c>
      <c r="O24" s="4">
        <f t="shared" si="12"/>
        <v>11.288354838709679</v>
      </c>
      <c r="P24" s="10">
        <f>P11-P12-P15</f>
        <v>3098.2165217391307</v>
      </c>
      <c r="Q24" s="2"/>
      <c r="R24" s="43">
        <f>SUM(G11:O11)-SUM(G12:O12)-SUM(G15:O15)</f>
        <v>2154.2865217391309</v>
      </c>
      <c r="S24" s="2"/>
      <c r="T24" s="10"/>
      <c r="U24" s="29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D21+'2018'!$P$11-'2018'!D21</f>
        <v>8334.3141379310346</v>
      </c>
      <c r="E25" s="10">
        <f>E21+'2018'!$P$11-'2018'!E21</f>
        <v>8062.704137931034</v>
      </c>
      <c r="F25" s="10">
        <f>F21+'2018'!$P$11-'2018'!F21</f>
        <v>7885.5641379310327</v>
      </c>
      <c r="G25" s="10">
        <f>G21+'2018'!$P$11-'2018'!G21</f>
        <v>7876.0399999999991</v>
      </c>
      <c r="H25" s="10">
        <f>H21+'2018'!$P$11-'2018'!H21</f>
        <v>8020.3200000000006</v>
      </c>
      <c r="I25" s="10">
        <f>I21+'2018'!$P$11-'2018'!I21</f>
        <v>8064.21</v>
      </c>
      <c r="J25" s="10">
        <f>J21+'2018'!$P$11-'2018'!J21</f>
        <v>8041.3700000000008</v>
      </c>
      <c r="K25" s="10">
        <f>K21+'2018'!$P$11-'2018'!K21</f>
        <v>7961.7699999999995</v>
      </c>
      <c r="L25" s="10">
        <f>L21+'2018'!$P$11-'2018'!L21</f>
        <v>8039.2099999999991</v>
      </c>
      <c r="M25" s="10">
        <f>M21+'2018'!$P$11-'2018'!M21</f>
        <v>8059.1299999999992</v>
      </c>
      <c r="N25" s="10">
        <f>N21+'2018'!$P$11-'2018'!N21</f>
        <v>8122.51</v>
      </c>
      <c r="O25" s="10">
        <f>O21+'2018'!$P$11-'2018'!O21</f>
        <v>8023.23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0.53406496280474336</v>
      </c>
      <c r="E27" s="51">
        <f t="shared" si="13"/>
        <v>0.4536294395133017</v>
      </c>
      <c r="F27" s="51">
        <f t="shared" si="13"/>
        <v>0.40203042245886672</v>
      </c>
      <c r="G27" s="51">
        <f t="shared" si="13"/>
        <v>0.27058912386706963</v>
      </c>
      <c r="H27" s="51">
        <f t="shared" si="13"/>
        <v>0.20692931674614273</v>
      </c>
      <c r="I27" s="51">
        <f t="shared" si="13"/>
        <v>3.5029559644180037E-2</v>
      </c>
      <c r="J27" s="51">
        <f t="shared" si="13"/>
        <v>8.0187207488296761E-2</v>
      </c>
      <c r="K27" s="51">
        <f t="shared" si="13"/>
        <v>2.7361992575737692E-2</v>
      </c>
      <c r="L27" s="51">
        <f t="shared" si="13"/>
        <v>0.17237047538718497</v>
      </c>
      <c r="M27" s="51">
        <f t="shared" si="13"/>
        <v>0.31988057118130453</v>
      </c>
      <c r="N27" s="51">
        <f t="shared" si="13"/>
        <v>0.38915438960287413</v>
      </c>
      <c r="O27" s="51">
        <f t="shared" si="13"/>
        <v>0.36763765978367741</v>
      </c>
      <c r="P27" s="51">
        <f t="shared" si="13"/>
        <v>0.33212559031711658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151</v>
      </c>
      <c r="D28" s="4">
        <f t="shared" ref="D28:H28" si="14">D16/D13</f>
        <v>0.85338692307692321</v>
      </c>
      <c r="E28" s="4">
        <f t="shared" si="14"/>
        <v>0.75759805447470718</v>
      </c>
      <c r="F28" s="4">
        <f t="shared" si="14"/>
        <v>0.63931373239436662</v>
      </c>
      <c r="G28" s="4">
        <f t="shared" si="14"/>
        <v>0.57276677115987495</v>
      </c>
      <c r="H28" s="4">
        <f t="shared" si="14"/>
        <v>0.74504347826087192</v>
      </c>
      <c r="I28" s="52"/>
      <c r="J28" s="52"/>
      <c r="K28" s="52"/>
      <c r="L28" s="4">
        <f t="shared" ref="L28:P28" si="15">L16/L13</f>
        <v>0.54428333333333956</v>
      </c>
      <c r="M28" s="4">
        <f t="shared" si="15"/>
        <v>0.47363623115577558</v>
      </c>
      <c r="N28" s="4">
        <f t="shared" si="15"/>
        <v>0.6746798360655738</v>
      </c>
      <c r="O28" s="4">
        <f t="shared" si="15"/>
        <v>0.64538734615384608</v>
      </c>
      <c r="P28" s="4">
        <f t="shared" si="15"/>
        <v>0.69002650418888023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21.051290322580648</v>
      </c>
      <c r="E29" s="4">
        <f t="shared" si="16"/>
        <v>13.63464285714284</v>
      </c>
      <c r="F29" s="4">
        <f t="shared" si="16"/>
        <v>11.484193548387104</v>
      </c>
      <c r="G29" s="4">
        <f t="shared" si="16"/>
        <v>5.9710000000000036</v>
      </c>
      <c r="H29" s="4">
        <f t="shared" si="16"/>
        <v>3.7935483870967861</v>
      </c>
      <c r="I29" s="4">
        <f t="shared" si="16"/>
        <v>0.42266666666667635</v>
      </c>
      <c r="J29" s="4">
        <f t="shared" si="16"/>
        <v>0.74612903225803873</v>
      </c>
      <c r="K29" s="4">
        <f t="shared" si="16"/>
        <v>0.29483870967740056</v>
      </c>
      <c r="L29" s="4">
        <f t="shared" si="16"/>
        <v>3.2016666666667031</v>
      </c>
      <c r="M29" s="4">
        <f t="shared" si="16"/>
        <v>5.9616451612902805</v>
      </c>
      <c r="N29" s="4">
        <f t="shared" si="16"/>
        <v>10.759600000000001</v>
      </c>
      <c r="O29" s="4">
        <f t="shared" si="16"/>
        <v>10.613580645161289</v>
      </c>
      <c r="P29" s="4">
        <f t="shared" si="16"/>
        <v>7.3006027397260258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19.600370620347395</v>
      </c>
      <c r="E30" s="4">
        <f t="shared" si="17"/>
        <v>17.965896720400202</v>
      </c>
      <c r="F30" s="4">
        <f t="shared" si="17"/>
        <v>12.332568128123587</v>
      </c>
      <c r="G30" s="4">
        <f t="shared" si="17"/>
        <v>7.3886913479623875</v>
      </c>
      <c r="H30" s="4">
        <f t="shared" si="17"/>
        <v>3.7492510518934195</v>
      </c>
      <c r="I30" s="4">
        <f t="shared" si="17"/>
        <v>0.42266666666667635</v>
      </c>
      <c r="J30" s="4">
        <f t="shared" si="17"/>
        <v>0.74612903225803873</v>
      </c>
      <c r="K30" s="4">
        <f t="shared" si="17"/>
        <v>0.29483870967740056</v>
      </c>
      <c r="L30" s="4">
        <f t="shared" si="17"/>
        <v>3.3926994444444833</v>
      </c>
      <c r="M30" s="4">
        <f t="shared" si="17"/>
        <v>5.729470538174704</v>
      </c>
      <c r="N30" s="4">
        <f t="shared" si="17"/>
        <v>11.649471836065572</v>
      </c>
      <c r="O30" s="4">
        <f t="shared" si="17"/>
        <v>13.636410055831265</v>
      </c>
      <c r="P30" s="4">
        <f t="shared" si="17"/>
        <v>8.0203045732900247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152</v>
      </c>
      <c r="D31" s="4">
        <f t="shared" ref="D31:P31" si="18">D16/$F$4</f>
        <v>2.6975446428571432</v>
      </c>
      <c r="E31" s="4">
        <f t="shared" si="18"/>
        <v>1.578083664021162</v>
      </c>
      <c r="F31" s="4">
        <f t="shared" si="18"/>
        <v>1.4716021825396834</v>
      </c>
      <c r="G31" s="4">
        <f t="shared" si="18"/>
        <v>0.74045138888888928</v>
      </c>
      <c r="H31" s="4">
        <f t="shared" si="18"/>
        <v>0.4861111111111126</v>
      </c>
      <c r="I31" s="4">
        <f t="shared" si="18"/>
        <v>5.2414021164022363E-2</v>
      </c>
      <c r="J31" s="4">
        <f t="shared" si="18"/>
        <v>9.5610119047615738E-2</v>
      </c>
      <c r="K31" s="4">
        <f t="shared" si="18"/>
        <v>3.7781084656082251E-2</v>
      </c>
      <c r="L31" s="4">
        <f t="shared" si="18"/>
        <v>0.39703207671958118</v>
      </c>
      <c r="M31" s="4">
        <f t="shared" si="18"/>
        <v>0.76393435846560309</v>
      </c>
      <c r="N31" s="4">
        <f t="shared" si="18"/>
        <v>1.3342757936507936</v>
      </c>
      <c r="O31" s="4">
        <f t="shared" si="18"/>
        <v>1.3600405092592589</v>
      </c>
      <c r="P31" s="4">
        <f t="shared" si="18"/>
        <v>11.014880952380949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153</v>
      </c>
      <c r="D32" s="4">
        <f t="shared" ref="D32:P32" si="19">D16/$F$3</f>
        <v>6.7978125000000018</v>
      </c>
      <c r="E32" s="4">
        <f t="shared" si="19"/>
        <v>3.9767708333333283</v>
      </c>
      <c r="F32" s="4">
        <f t="shared" si="19"/>
        <v>3.7084375000000023</v>
      </c>
      <c r="G32" s="4">
        <f t="shared" si="19"/>
        <v>1.8659375000000011</v>
      </c>
      <c r="H32" s="4">
        <f t="shared" si="19"/>
        <v>1.2250000000000039</v>
      </c>
      <c r="I32" s="4">
        <f t="shared" si="19"/>
        <v>0.13208333333333636</v>
      </c>
      <c r="J32" s="4">
        <f t="shared" si="19"/>
        <v>0.24093749999999167</v>
      </c>
      <c r="K32" s="4">
        <f t="shared" si="19"/>
        <v>9.5208333333327275E-2</v>
      </c>
      <c r="L32" s="4">
        <f t="shared" si="19"/>
        <v>1.0005208333333446</v>
      </c>
      <c r="M32" s="4">
        <f t="shared" si="19"/>
        <v>1.9251145833333199</v>
      </c>
      <c r="N32" s="4">
        <f t="shared" si="19"/>
        <v>3.3623750000000001</v>
      </c>
      <c r="O32" s="4">
        <f t="shared" si="19"/>
        <v>3.4273020833333327</v>
      </c>
      <c r="P32" s="4">
        <f t="shared" si="19"/>
        <v>27.757499999999993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154</v>
      </c>
      <c r="D33" s="4">
        <f t="shared" ref="D33:P33" si="20">D17/$F$4</f>
        <v>2.5116215659340662</v>
      </c>
      <c r="E33" s="4">
        <f t="shared" si="20"/>
        <v>2.0793861944907639</v>
      </c>
      <c r="F33" s="4">
        <f t="shared" si="20"/>
        <v>1.5803142029258894</v>
      </c>
      <c r="G33" s="4">
        <f t="shared" si="20"/>
        <v>0.91625636755485951</v>
      </c>
      <c r="H33" s="4">
        <f t="shared" si="20"/>
        <v>0.48043478260869704</v>
      </c>
      <c r="I33" s="4">
        <f t="shared" si="20"/>
        <v>5.2414021164022363E-2</v>
      </c>
      <c r="J33" s="4">
        <f t="shared" si="20"/>
        <v>9.5610119047615738E-2</v>
      </c>
      <c r="K33" s="4">
        <f t="shared" si="20"/>
        <v>3.7781084656082251E-2</v>
      </c>
      <c r="L33" s="4">
        <f t="shared" si="20"/>
        <v>0.42072165729718292</v>
      </c>
      <c r="M33" s="4">
        <f t="shared" si="20"/>
        <v>0.73418314601279688</v>
      </c>
      <c r="N33" s="4">
        <f t="shared" si="20"/>
        <v>1.444626963797814</v>
      </c>
      <c r="O33" s="4">
        <f t="shared" si="20"/>
        <v>1.7473905081463672</v>
      </c>
      <c r="P33" s="4">
        <f t="shared" si="20"/>
        <v>12.100740613636155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155</v>
      </c>
      <c r="D34" s="4">
        <f t="shared" ref="D34:P34" si="21">D17/$F$3</f>
        <v>6.3292863461538467</v>
      </c>
      <c r="E34" s="4">
        <f t="shared" si="21"/>
        <v>5.2400532101167254</v>
      </c>
      <c r="F34" s="4">
        <f t="shared" si="21"/>
        <v>3.9823917913732418</v>
      </c>
      <c r="G34" s="4">
        <f t="shared" si="21"/>
        <v>2.308966046238246</v>
      </c>
      <c r="H34" s="4">
        <f t="shared" si="21"/>
        <v>1.2106956521739167</v>
      </c>
      <c r="I34" s="4">
        <f t="shared" si="21"/>
        <v>0.13208333333333636</v>
      </c>
      <c r="J34" s="4">
        <f t="shared" si="21"/>
        <v>0.24093749999999167</v>
      </c>
      <c r="K34" s="4">
        <f t="shared" si="21"/>
        <v>9.5208333333327275E-2</v>
      </c>
      <c r="L34" s="4">
        <f t="shared" si="21"/>
        <v>1.0602185763889012</v>
      </c>
      <c r="M34" s="4">
        <f t="shared" si="21"/>
        <v>1.8501415279522482</v>
      </c>
      <c r="N34" s="4">
        <f t="shared" si="21"/>
        <v>3.6404599487704914</v>
      </c>
      <c r="O34" s="4">
        <f t="shared" si="21"/>
        <v>4.403424080528846</v>
      </c>
      <c r="P34" s="4">
        <f t="shared" si="21"/>
        <v>30.493866346363117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156</v>
      </c>
      <c r="D35" s="4">
        <f t="shared" ref="D35:H35" si="22">1000*D31/D13</f>
        <v>3.5275583791208791</v>
      </c>
      <c r="E35" s="4">
        <f t="shared" si="22"/>
        <v>3.1316057145945235</v>
      </c>
      <c r="F35" s="4">
        <f t="shared" si="22"/>
        <v>2.6426658911804175</v>
      </c>
      <c r="G35" s="4">
        <f t="shared" si="22"/>
        <v>2.3675875130616522</v>
      </c>
      <c r="H35" s="4">
        <f t="shared" si="22"/>
        <v>3.0797101449275459</v>
      </c>
      <c r="I35" s="52"/>
      <c r="J35" s="52"/>
      <c r="K35" s="52"/>
      <c r="L35" s="4">
        <f t="shared" ref="L35:P35" si="23">1000*L31/L13</f>
        <v>2.2498484347442935</v>
      </c>
      <c r="M35" s="4">
        <f t="shared" si="23"/>
        <v>1.9578217227007917</v>
      </c>
      <c r="N35" s="4">
        <f t="shared" si="23"/>
        <v>2.7888551424668231</v>
      </c>
      <c r="O35" s="4">
        <f t="shared" si="23"/>
        <v>2.6677717681623925</v>
      </c>
      <c r="P35" s="4">
        <f t="shared" si="23"/>
        <v>2.8522920973416013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0.58823529411764708</v>
      </c>
      <c r="L41" s="4"/>
      <c r="M41" s="4"/>
      <c r="N41" s="4"/>
      <c r="O41" s="4"/>
      <c r="P41" s="4"/>
      <c r="Q41" s="2"/>
      <c r="R41" s="2"/>
      <c r="S41" s="2">
        <f>8263.74-8258.38</f>
        <v>5.3600000000005821</v>
      </c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2"/>
      <c r="D46" s="4">
        <v>7.23</v>
      </c>
      <c r="E46" s="4">
        <v>6.11</v>
      </c>
      <c r="F46" s="4">
        <v>5.29</v>
      </c>
      <c r="G46" s="4">
        <v>5.32</v>
      </c>
      <c r="H46" s="4">
        <v>4.8</v>
      </c>
      <c r="I46" s="4">
        <v>3.61</v>
      </c>
      <c r="J46" s="4">
        <v>5.73</v>
      </c>
      <c r="K46" s="4">
        <v>6.03</v>
      </c>
      <c r="L46" s="4">
        <v>6.06</v>
      </c>
      <c r="M46" s="4">
        <v>5.95</v>
      </c>
      <c r="N46" s="4">
        <v>5.89</v>
      </c>
      <c r="O46" s="4">
        <v>5.0599999999999996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(SUMPRODUCT($D$46:D46,$D$11:D11)+SUMPRODUCT('2018'!E$46:$O46,'2018'!E$11:$O11))/(D21+SUM('2018'!E$11:$O11))</f>
        <v>6.2539884042337475</v>
      </c>
      <c r="E48" s="18">
        <f>(SUMPRODUCT($D$46:E46,$D$11:E11)+SUMPRODUCT('2018'!F$46:$O46,'2018'!F$11:$O11))/(E21+SUM('2018'!F$11:$O11))</f>
        <v>6.316827456964254</v>
      </c>
      <c r="F48" s="18">
        <f>(SUMPRODUCT($D$46:F46,$D$11:F11)+SUMPRODUCT('2018'!G$46:$O46,'2018'!G$11:$O11))/(F21+SUM('2018'!G$11:$O11))</f>
        <v>6.2442133136692908</v>
      </c>
      <c r="G48" s="18">
        <f>(SUMPRODUCT($D$46:G46,$D$11:G11)+SUMPRODUCT('2018'!H$46:$O46,'2018'!H$11:$O11))/(G21+SUM('2018'!H$11:$O11))</f>
        <v>6.2564149369480093</v>
      </c>
      <c r="H48" s="18">
        <f>(SUMPRODUCT($D$46:H46,$D$11:H11)+SUMPRODUCT('2018'!I$46:$O46,'2018'!I$11:$O11))/(H21+SUM('2018'!I$11:$O11))</f>
        <v>6.2444897959183665</v>
      </c>
      <c r="I48" s="18">
        <f>(SUMPRODUCT($D$46:I46,$D$11:I11)+SUMPRODUCT('2018'!J$46:$O46,'2018'!J$11:$O11))/(I21+SUM('2018'!J$11:$O11))</f>
        <v>6.1327231061691094</v>
      </c>
      <c r="J48" s="18">
        <f>(SUMPRODUCT($D$46:J46,$D$11:J11)+SUMPRODUCT('2018'!K$46:$O46,'2018'!K$11:$O11))/(J21+SUM('2018'!K$11:$O11))</f>
        <v>6.0831554697769157</v>
      </c>
      <c r="K48" s="18">
        <f>(SUMPRODUCT($D$46:K46,$D$11:K11)+SUMPRODUCT('2018'!L$46:$O46,'2018'!L$11:$O11))/(K21+SUM('2018'!L$11:$O11))</f>
        <v>6.0260187747196925</v>
      </c>
      <c r="L48" s="18">
        <f>(SUMPRODUCT($D$46:L46,$D$11:L11)+SUMPRODUCT('2018'!M$46:$O46,'2018'!M$11:$O11))/(L21+SUM('2018'!M$11:$O11))</f>
        <v>5.9982959270873639</v>
      </c>
      <c r="M48" s="18">
        <f>(SUMPRODUCT($D$46:M46,$D$11:M11)+SUMPRODUCT('2018'!N$46:$O46,'2018'!N$11:$O11))/(M21+SUM('2018'!N$11:$O11))</f>
        <v>6.0002530670184013</v>
      </c>
      <c r="N48" s="18">
        <f>(SUMPRODUCT($D$46:N46,$D$11:N11)+SUMPRODUCT('2018'!O$46:$O46,'2018'!O$11:$O11))/(N21+SUM('2018'!O$11:$O11))</f>
        <v>5.9446896710499599</v>
      </c>
      <c r="O48" s="18">
        <f>(SUMPRODUCT($D$46:O46,$D$11:O11))/(O21)</f>
        <v>5.7474510016539488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A00-000000000000}"/>
    <hyperlink ref="R2" r:id="rId2" location="lammitystarvelukus" xr:uid="{00000000-0004-0000-0A00-000001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8.44140625" customWidth="1"/>
    <col min="18" max="18" width="8" customWidth="1"/>
    <col min="19" max="19" width="6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158</v>
      </c>
      <c r="H3" s="8" t="s">
        <v>6</v>
      </c>
      <c r="I3" s="4"/>
      <c r="J3" s="4"/>
      <c r="K3" s="4">
        <v>8.5</v>
      </c>
      <c r="L3" s="8" t="s">
        <v>7</v>
      </c>
      <c r="M3" s="8" t="s">
        <v>8</v>
      </c>
      <c r="N3" s="4"/>
      <c r="O3" s="9">
        <f>(SUM(I11:K11))/92</f>
        <v>11.337173913043477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159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2018</v>
      </c>
      <c r="B8" s="25" t="s">
        <v>27</v>
      </c>
      <c r="C8" s="26" t="s">
        <v>160</v>
      </c>
      <c r="D8" s="27">
        <v>-2.9</v>
      </c>
      <c r="E8" s="27">
        <v>-9.4</v>
      </c>
      <c r="F8" s="27">
        <v>-5.7</v>
      </c>
      <c r="G8" s="27">
        <v>4.4000000000000004</v>
      </c>
      <c r="H8" s="27">
        <v>14.1</v>
      </c>
      <c r="I8" s="27">
        <v>14.7</v>
      </c>
      <c r="J8" s="27">
        <v>19.8</v>
      </c>
      <c r="K8" s="27">
        <v>16.8</v>
      </c>
      <c r="L8" s="27">
        <v>12.1</v>
      </c>
      <c r="M8" s="27">
        <v>5.6</v>
      </c>
      <c r="N8" s="27">
        <v>2.2000000000000002</v>
      </c>
      <c r="O8" s="28">
        <v>-2.5</v>
      </c>
      <c r="P8" s="27">
        <f>AVERAGE(D8:O8)</f>
        <v>5.7666666666666666</v>
      </c>
      <c r="Q8" s="2"/>
      <c r="R8" s="29">
        <f>AVERAGE(D8:H8,L8:O8)</f>
        <v>1.9888888888888887</v>
      </c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2018</v>
      </c>
      <c r="B9" s="25" t="s">
        <v>29</v>
      </c>
      <c r="C9" s="30" t="s">
        <v>30</v>
      </c>
      <c r="D9" s="31">
        <v>561.89</v>
      </c>
      <c r="E9" s="31">
        <v>633.29</v>
      </c>
      <c r="F9" s="31">
        <v>577.99</v>
      </c>
      <c r="G9" s="31">
        <v>328.32413793103399</v>
      </c>
      <c r="H9" s="31">
        <v>191.18</v>
      </c>
      <c r="I9" s="31">
        <v>143.80000000000001</v>
      </c>
      <c r="J9" s="31">
        <v>157.36000000000001</v>
      </c>
      <c r="K9" s="31">
        <v>189.48</v>
      </c>
      <c r="L9" s="31">
        <v>244.72</v>
      </c>
      <c r="M9" s="31">
        <v>306.61</v>
      </c>
      <c r="N9" s="31">
        <v>393.03</v>
      </c>
      <c r="O9" s="32">
        <v>559.29999999999995</v>
      </c>
      <c r="P9" s="31">
        <f t="shared" ref="P9:P17" si="0">SUM(D9:O9)</f>
        <v>4286.9741379310344</v>
      </c>
      <c r="Q9" s="2"/>
      <c r="R9" s="33">
        <f t="shared" ref="R9:R13" si="1">P9/$P$11</f>
        <v>0.52841164256115536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2018</v>
      </c>
      <c r="B10" s="25" t="s">
        <v>31</v>
      </c>
      <c r="C10" s="30" t="s">
        <v>30</v>
      </c>
      <c r="D10" s="31">
        <v>438.67</v>
      </c>
      <c r="E10" s="31">
        <v>479.91</v>
      </c>
      <c r="F10" s="31">
        <v>484.68</v>
      </c>
      <c r="G10" s="31">
        <v>343.2</v>
      </c>
      <c r="H10" s="31">
        <v>232.85</v>
      </c>
      <c r="I10" s="31">
        <v>174.29</v>
      </c>
      <c r="J10" s="31">
        <v>153.93</v>
      </c>
      <c r="K10" s="31">
        <v>224.16</v>
      </c>
      <c r="L10" s="31">
        <v>235.07</v>
      </c>
      <c r="M10" s="31">
        <v>251.22</v>
      </c>
      <c r="N10" s="66">
        <v>373.05</v>
      </c>
      <c r="O10" s="37">
        <v>434.94</v>
      </c>
      <c r="P10" s="38">
        <f t="shared" si="0"/>
        <v>3825.97</v>
      </c>
      <c r="Q10" s="39"/>
      <c r="R10" s="33">
        <f t="shared" si="1"/>
        <v>0.47158835743884464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2018</v>
      </c>
      <c r="B11" s="25" t="s">
        <v>32</v>
      </c>
      <c r="C11" s="30" t="s">
        <v>30</v>
      </c>
      <c r="D11" s="31">
        <f t="shared" ref="D11:O11" si="2">SUM(D9:D10)</f>
        <v>1000.56</v>
      </c>
      <c r="E11" s="31">
        <f t="shared" si="2"/>
        <v>1113.2</v>
      </c>
      <c r="F11" s="31">
        <f t="shared" si="2"/>
        <v>1062.67</v>
      </c>
      <c r="G11" s="31">
        <f t="shared" si="2"/>
        <v>671.52413793103392</v>
      </c>
      <c r="H11" s="31">
        <f t="shared" si="2"/>
        <v>424.03</v>
      </c>
      <c r="I11" s="31">
        <f t="shared" si="2"/>
        <v>318.09000000000003</v>
      </c>
      <c r="J11" s="31">
        <f t="shared" si="2"/>
        <v>311.29000000000002</v>
      </c>
      <c r="K11" s="31">
        <f t="shared" si="2"/>
        <v>413.64</v>
      </c>
      <c r="L11" s="31">
        <f t="shared" si="2"/>
        <v>479.78999999999996</v>
      </c>
      <c r="M11" s="31">
        <f t="shared" si="2"/>
        <v>557.83000000000004</v>
      </c>
      <c r="N11" s="31">
        <f t="shared" si="2"/>
        <v>766.07999999999993</v>
      </c>
      <c r="O11" s="72">
        <f t="shared" si="2"/>
        <v>994.24</v>
      </c>
      <c r="P11" s="40">
        <f t="shared" si="0"/>
        <v>8112.9441379310338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2018</v>
      </c>
      <c r="B12" s="25" t="s">
        <v>33</v>
      </c>
      <c r="C12" s="30" t="s">
        <v>30</v>
      </c>
      <c r="D12" s="31">
        <f>(4199.02-3705.91)</f>
        <v>493.11000000000058</v>
      </c>
      <c r="E12" s="31">
        <f>(4809.75-4199.02)</f>
        <v>610.72999999999956</v>
      </c>
      <c r="F12" s="31">
        <f>(5334.62-4809.75)</f>
        <v>524.86999999999989</v>
      </c>
      <c r="G12" s="31">
        <f>(5534.4-5334.62)</f>
        <v>199.77999999999975</v>
      </c>
      <c r="H12" s="31">
        <f>(5556.01-5534.4)</f>
        <v>21.610000000000582</v>
      </c>
      <c r="I12" s="31">
        <f>(5572.65-5556.01)</f>
        <v>16.639999999999418</v>
      </c>
      <c r="J12" s="31">
        <f>(5581.36-5572.65)</f>
        <v>8.7100000000000364</v>
      </c>
      <c r="K12" s="31">
        <f>5609.6-5609.56+5627.09-5614.98</f>
        <v>12.150000000000546</v>
      </c>
      <c r="L12" s="31">
        <f>(5678.9-5627.09)</f>
        <v>51.809999999999491</v>
      </c>
      <c r="M12" s="31">
        <f>5854.41-5678.9</f>
        <v>175.51000000000022</v>
      </c>
      <c r="N12" s="31">
        <f>(6116.1-5845.7)</f>
        <v>270.40000000000055</v>
      </c>
      <c r="O12" s="31">
        <f>6565.26-6116.1</f>
        <v>449.15999999999985</v>
      </c>
      <c r="P12" s="31">
        <f t="shared" si="0"/>
        <v>2834.4800000000005</v>
      </c>
      <c r="Q12" s="39"/>
      <c r="R12" s="33">
        <f t="shared" si="1"/>
        <v>0.34937748267583296</v>
      </c>
      <c r="S12" s="34"/>
      <c r="T12" s="29"/>
      <c r="U12" s="29"/>
      <c r="V12" s="11">
        <f>(P12+'2017'!P12+'2016'!P12+'2015'!P12+'2014'!P12)/5</f>
        <v>2636.6770000000006</v>
      </c>
      <c r="W12" s="36"/>
      <c r="X12" s="11">
        <f>P12+'2017'!X12</f>
        <v>20310.320714285714</v>
      </c>
      <c r="Y12" s="2"/>
      <c r="Z12" s="11"/>
    </row>
    <row r="13" spans="1:26" ht="12.75" customHeight="1" x14ac:dyDescent="0.25">
      <c r="A13" s="24">
        <v>2018</v>
      </c>
      <c r="B13" s="41" t="s">
        <v>36</v>
      </c>
      <c r="C13" s="26" t="s">
        <v>161</v>
      </c>
      <c r="D13" s="31">
        <f>634/1.02</f>
        <v>621.56862745098033</v>
      </c>
      <c r="E13" s="31">
        <f>740/1.02</f>
        <v>725.49019607843138</v>
      </c>
      <c r="F13" s="31">
        <f>718/1.02</f>
        <v>703.92156862745094</v>
      </c>
      <c r="G13" s="31">
        <f>380/1.02</f>
        <v>372.54901960784315</v>
      </c>
      <c r="H13" s="42">
        <f>45/1.02</f>
        <v>44.117647058823529</v>
      </c>
      <c r="I13" s="31">
        <f>25/1.02</f>
        <v>24.509803921568626</v>
      </c>
      <c r="J13" s="31">
        <v>0</v>
      </c>
      <c r="K13" s="31">
        <v>0</v>
      </c>
      <c r="L13" s="31">
        <f>125/1.02</f>
        <v>122.54901960784314</v>
      </c>
      <c r="M13" s="31">
        <f>370/1.02</f>
        <v>362.74509803921569</v>
      </c>
      <c r="N13" s="31">
        <f>450/1.02</f>
        <v>441.1764705882353</v>
      </c>
      <c r="O13" s="42">
        <f>618/1.02</f>
        <v>605.88235294117646</v>
      </c>
      <c r="P13" s="31">
        <f t="shared" si="0"/>
        <v>4024.5098039215682</v>
      </c>
      <c r="Q13" s="36"/>
      <c r="R13" s="33">
        <f t="shared" si="1"/>
        <v>0.49606033709827813</v>
      </c>
      <c r="S13" s="2"/>
      <c r="T13" s="29"/>
      <c r="U13" s="29"/>
      <c r="V13" s="11"/>
      <c r="W13" s="36"/>
      <c r="X13" s="2"/>
      <c r="Y13" s="2"/>
      <c r="Z13" s="2"/>
    </row>
    <row r="14" spans="1:26" ht="12.75" customHeight="1" x14ac:dyDescent="0.25">
      <c r="A14" s="24">
        <v>2018</v>
      </c>
      <c r="B14" s="41" t="s">
        <v>39</v>
      </c>
      <c r="C14" s="26" t="s">
        <v>162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11"/>
      <c r="W14" s="43"/>
      <c r="X14" s="2"/>
      <c r="Y14" s="2"/>
      <c r="Z14" s="2"/>
    </row>
    <row r="15" spans="1:26" ht="12.75" customHeight="1" x14ac:dyDescent="0.25">
      <c r="A15" s="24">
        <v>2018</v>
      </c>
      <c r="B15" s="25" t="s">
        <v>41</v>
      </c>
      <c r="C15" s="30" t="s">
        <v>30</v>
      </c>
      <c r="D15" s="31">
        <v>206</v>
      </c>
      <c r="E15" s="31">
        <v>178</v>
      </c>
      <c r="F15" s="31">
        <v>200.9</v>
      </c>
      <c r="G15" s="31">
        <v>199.9</v>
      </c>
      <c r="H15" s="31">
        <v>173.4</v>
      </c>
      <c r="I15" s="31">
        <v>135.5</v>
      </c>
      <c r="J15" s="31">
        <v>118.7</v>
      </c>
      <c r="K15" s="31">
        <v>189.4</v>
      </c>
      <c r="L15" s="31">
        <v>180.2</v>
      </c>
      <c r="M15" s="31">
        <v>163</v>
      </c>
      <c r="N15" s="31">
        <v>233</v>
      </c>
      <c r="O15" s="42">
        <v>209.1</v>
      </c>
      <c r="P15" s="31">
        <f t="shared" si="0"/>
        <v>2187.1</v>
      </c>
      <c r="Q15" s="2"/>
      <c r="R15" s="33">
        <f>P15/$P$11</f>
        <v>0.26958154312618687</v>
      </c>
      <c r="S15" s="2"/>
      <c r="T15" s="29"/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2018</v>
      </c>
      <c r="B16" s="25" t="s">
        <v>42</v>
      </c>
      <c r="C16" s="30" t="s">
        <v>30</v>
      </c>
      <c r="D16" s="31">
        <f t="shared" ref="D16:O16" si="3">D12</f>
        <v>493.11000000000058</v>
      </c>
      <c r="E16" s="31">
        <f t="shared" si="3"/>
        <v>610.72999999999956</v>
      </c>
      <c r="F16" s="31">
        <f t="shared" si="3"/>
        <v>524.86999999999989</v>
      </c>
      <c r="G16" s="31">
        <f t="shared" si="3"/>
        <v>199.77999999999975</v>
      </c>
      <c r="H16" s="31">
        <f t="shared" si="3"/>
        <v>21.610000000000582</v>
      </c>
      <c r="I16" s="31">
        <f t="shared" si="3"/>
        <v>16.639999999999418</v>
      </c>
      <c r="J16" s="31">
        <f t="shared" si="3"/>
        <v>8.7100000000000364</v>
      </c>
      <c r="K16" s="31">
        <f t="shared" si="3"/>
        <v>12.150000000000546</v>
      </c>
      <c r="L16" s="31">
        <f t="shared" si="3"/>
        <v>51.809999999999491</v>
      </c>
      <c r="M16" s="31">
        <f t="shared" si="3"/>
        <v>175.51000000000022</v>
      </c>
      <c r="N16" s="31">
        <f t="shared" si="3"/>
        <v>270.40000000000055</v>
      </c>
      <c r="O16" s="31">
        <f t="shared" si="3"/>
        <v>449.15999999999985</v>
      </c>
      <c r="P16" s="31">
        <f t="shared" si="0"/>
        <v>2834.4800000000005</v>
      </c>
      <c r="Q16" s="2"/>
      <c r="R16" s="11"/>
      <c r="S16" s="2"/>
      <c r="T16" s="29"/>
      <c r="U16" s="29"/>
      <c r="V16" s="2"/>
      <c r="W16" s="43"/>
      <c r="X16" s="2"/>
      <c r="Y16" s="2"/>
      <c r="Z16" s="2"/>
    </row>
    <row r="17" spans="1:26" ht="12.75" customHeight="1" x14ac:dyDescent="0.25">
      <c r="A17" s="24">
        <v>2018</v>
      </c>
      <c r="B17" s="25" t="s">
        <v>43</v>
      </c>
      <c r="C17" s="30" t="s">
        <v>30</v>
      </c>
      <c r="D17" s="31">
        <f t="shared" ref="D17:H17" si="4">IF(D16&lt;0,0,((D14/D13))*D16)</f>
        <v>564.85206056782408</v>
      </c>
      <c r="E17" s="31">
        <f t="shared" si="4"/>
        <v>558.96650594594553</v>
      </c>
      <c r="F17" s="31">
        <f t="shared" si="4"/>
        <v>445.89095431754868</v>
      </c>
      <c r="G17" s="31">
        <f t="shared" si="4"/>
        <v>207.52936105263132</v>
      </c>
      <c r="H17" s="31">
        <f t="shared" si="4"/>
        <v>76.412960000002059</v>
      </c>
      <c r="I17" s="46">
        <f t="shared" ref="I17:K17" si="5">I16</f>
        <v>16.639999999999418</v>
      </c>
      <c r="J17" s="46">
        <f t="shared" si="5"/>
        <v>8.7100000000000364</v>
      </c>
      <c r="K17" s="46">
        <f t="shared" si="5"/>
        <v>12.150000000000546</v>
      </c>
      <c r="L17" s="31">
        <f t="shared" ref="L17:O17" si="6">IF(L16&lt;0,0,((L14/L13))*L16)</f>
        <v>79.057915199999215</v>
      </c>
      <c r="M17" s="31">
        <f t="shared" si="6"/>
        <v>181.43939189189211</v>
      </c>
      <c r="N17" s="31">
        <f t="shared" si="6"/>
        <v>317.48565333333397</v>
      </c>
      <c r="O17" s="42">
        <f t="shared" si="6"/>
        <v>485.57248543689309</v>
      </c>
      <c r="P17" s="40">
        <f t="shared" si="0"/>
        <v>2954.7072877460701</v>
      </c>
      <c r="Q17" s="47"/>
      <c r="R17" s="2">
        <f>(P14-P13)/P14</f>
        <v>6.5371620083240087E-2</v>
      </c>
      <c r="S17" s="2"/>
      <c r="T17" s="29"/>
      <c r="U17" s="29"/>
      <c r="V17" s="2"/>
      <c r="W17" s="43"/>
      <c r="X17" s="2"/>
      <c r="Y17" s="43"/>
      <c r="Z17" s="39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67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11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32.276129032258062</v>
      </c>
      <c r="E20" s="4">
        <f t="shared" si="7"/>
        <v>39.75714285714286</v>
      </c>
      <c r="F20" s="4">
        <f t="shared" si="7"/>
        <v>34.27967741935484</v>
      </c>
      <c r="G20" s="4">
        <f t="shared" si="7"/>
        <v>22.384137931034463</v>
      </c>
      <c r="H20" s="4">
        <f t="shared" si="7"/>
        <v>13.678387096774193</v>
      </c>
      <c r="I20" s="4">
        <f t="shared" si="7"/>
        <v>10.603000000000002</v>
      </c>
      <c r="J20" s="4">
        <f t="shared" si="7"/>
        <v>10.041612903225808</v>
      </c>
      <c r="K20" s="4">
        <f t="shared" si="7"/>
        <v>13.343225806451612</v>
      </c>
      <c r="L20" s="4">
        <f t="shared" si="7"/>
        <v>15.992999999999999</v>
      </c>
      <c r="M20" s="4">
        <f t="shared" si="7"/>
        <v>17.994516129032259</v>
      </c>
      <c r="N20" s="4">
        <f t="shared" si="7"/>
        <v>25.535999999999998</v>
      </c>
      <c r="O20" s="4">
        <f t="shared" si="7"/>
        <v>32.072258064516127</v>
      </c>
      <c r="P20" s="4">
        <f>P11/365</f>
        <v>22.227244213509682</v>
      </c>
      <c r="Q20" s="2"/>
      <c r="R20" s="2"/>
      <c r="S20" s="2"/>
      <c r="T20" s="11"/>
      <c r="U20" s="2"/>
      <c r="V20" s="2"/>
      <c r="W20" s="11"/>
      <c r="X20" s="2"/>
      <c r="Y20" s="43"/>
      <c r="Z20" s="39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1000.56</v>
      </c>
      <c r="E21" s="4">
        <f t="shared" ref="E21:O21" si="9">SUM($D$11:E11)</f>
        <v>2113.7600000000002</v>
      </c>
      <c r="F21" s="4">
        <f t="shared" si="9"/>
        <v>3176.4300000000003</v>
      </c>
      <c r="G21" s="4">
        <f t="shared" si="9"/>
        <v>3847.954137931034</v>
      </c>
      <c r="H21" s="4">
        <f t="shared" si="9"/>
        <v>4271.9841379310337</v>
      </c>
      <c r="I21" s="4">
        <f t="shared" si="9"/>
        <v>4590.0741379310339</v>
      </c>
      <c r="J21" s="4">
        <f t="shared" si="9"/>
        <v>4901.3641379310338</v>
      </c>
      <c r="K21" s="4">
        <f t="shared" si="9"/>
        <v>5315.0041379310342</v>
      </c>
      <c r="L21" s="4">
        <f t="shared" si="9"/>
        <v>5794.7941379310341</v>
      </c>
      <c r="M21" s="4">
        <f t="shared" si="9"/>
        <v>6352.6241379310341</v>
      </c>
      <c r="N21" s="4">
        <f t="shared" si="9"/>
        <v>7118.704137931034</v>
      </c>
      <c r="O21" s="4">
        <f t="shared" si="9"/>
        <v>8112.9441379310338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493.11000000000058</v>
      </c>
      <c r="E22" s="4">
        <f t="shared" ref="E22:O22" si="10">SUM($D$12:E12)</f>
        <v>1103.8400000000001</v>
      </c>
      <c r="F22" s="4">
        <f t="shared" si="10"/>
        <v>1628.71</v>
      </c>
      <c r="G22" s="4">
        <f t="shared" si="10"/>
        <v>1828.4899999999998</v>
      </c>
      <c r="H22" s="4">
        <f t="shared" si="10"/>
        <v>1850.1000000000004</v>
      </c>
      <c r="I22" s="4">
        <f t="shared" si="10"/>
        <v>1866.7399999999998</v>
      </c>
      <c r="J22" s="4">
        <f t="shared" si="10"/>
        <v>1875.4499999999998</v>
      </c>
      <c r="K22" s="4">
        <f t="shared" si="10"/>
        <v>1887.6000000000004</v>
      </c>
      <c r="L22" s="4">
        <f t="shared" si="10"/>
        <v>1939.4099999999999</v>
      </c>
      <c r="M22" s="4">
        <f t="shared" si="10"/>
        <v>2114.92</v>
      </c>
      <c r="N22" s="4">
        <f t="shared" si="10"/>
        <v>2385.3200000000006</v>
      </c>
      <c r="O22" s="4">
        <f t="shared" si="10"/>
        <v>2834.4800000000005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493.11000000000058</v>
      </c>
      <c r="E23" s="4">
        <f t="shared" ref="E23:O23" si="11">SUM($D$16:E16)</f>
        <v>1103.8400000000001</v>
      </c>
      <c r="F23" s="4">
        <f t="shared" si="11"/>
        <v>1628.71</v>
      </c>
      <c r="G23" s="4">
        <f t="shared" si="11"/>
        <v>1828.4899999999998</v>
      </c>
      <c r="H23" s="4">
        <f t="shared" si="11"/>
        <v>1850.1000000000004</v>
      </c>
      <c r="I23" s="4">
        <f t="shared" si="11"/>
        <v>1866.7399999999998</v>
      </c>
      <c r="J23" s="4">
        <f t="shared" si="11"/>
        <v>1875.4499999999998</v>
      </c>
      <c r="K23" s="4">
        <f t="shared" si="11"/>
        <v>1887.6000000000004</v>
      </c>
      <c r="L23" s="4">
        <f t="shared" si="11"/>
        <v>1939.4099999999999</v>
      </c>
      <c r="M23" s="4">
        <f t="shared" si="11"/>
        <v>2114.92</v>
      </c>
      <c r="N23" s="4">
        <f t="shared" si="11"/>
        <v>2385.3200000000006</v>
      </c>
      <c r="O23" s="4">
        <f t="shared" si="11"/>
        <v>2834.4800000000005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O24" si="12">(D11-D12-D15)/D7</f>
        <v>9.7241935483870758</v>
      </c>
      <c r="E24" s="4">
        <f t="shared" si="12"/>
        <v>11.588214285714303</v>
      </c>
      <c r="F24" s="4">
        <f t="shared" si="12"/>
        <v>10.867741935483878</v>
      </c>
      <c r="G24" s="4">
        <f t="shared" si="12"/>
        <v>9.0614712643678068</v>
      </c>
      <c r="H24" s="4">
        <f t="shared" si="12"/>
        <v>7.3877419354838514</v>
      </c>
      <c r="I24" s="4">
        <f t="shared" si="12"/>
        <v>5.5316666666666867</v>
      </c>
      <c r="J24" s="4">
        <f t="shared" si="12"/>
        <v>5.9316129032258065</v>
      </c>
      <c r="K24" s="4">
        <f t="shared" si="12"/>
        <v>6.841612903225788</v>
      </c>
      <c r="L24" s="4">
        <f t="shared" si="12"/>
        <v>8.2593333333333501</v>
      </c>
      <c r="M24" s="4">
        <f t="shared" si="12"/>
        <v>7.0748387096774135</v>
      </c>
      <c r="N24" s="4">
        <f t="shared" si="12"/>
        <v>8.7559999999999789</v>
      </c>
      <c r="O24" s="4">
        <f t="shared" si="12"/>
        <v>10.838064516129036</v>
      </c>
      <c r="P24" s="10">
        <f>P11-P12-P15-33</f>
        <v>3058.3641379310334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D21+'2017'!$P$11-'2017'!D21</f>
        <v>7542.3099999999995</v>
      </c>
      <c r="E25" s="10">
        <f>E21+'2017'!$P$11-'2017'!E21</f>
        <v>7803.1500000000005</v>
      </c>
      <c r="F25" s="10">
        <f>F21+'2017'!$P$11-'2017'!F21</f>
        <v>8155.630000000001</v>
      </c>
      <c r="G25" s="10">
        <f>G21+'2017'!$P$11-'2017'!G21</f>
        <v>8079.704137931034</v>
      </c>
      <c r="H25" s="10">
        <f>H21+'2017'!$P$11-'2017'!H21</f>
        <v>8048.5541379310325</v>
      </c>
      <c r="I25" s="10">
        <f>I21+'2017'!$P$11-'2017'!I21</f>
        <v>8070.8041379310325</v>
      </c>
      <c r="J25" s="10">
        <f>J21+'2017'!$P$11-'2017'!J21</f>
        <v>8008.1841379310335</v>
      </c>
      <c r="K25" s="10">
        <f>K21+'2017'!$P$11-'2017'!K21</f>
        <v>8050.9241379310333</v>
      </c>
      <c r="L25" s="10">
        <f>L21+'2017'!$P$11-'2017'!L21</f>
        <v>8094.3841379310343</v>
      </c>
      <c r="M25" s="10">
        <f>M21+'2017'!$P$11-'2017'!M21</f>
        <v>8017.1041379310345</v>
      </c>
      <c r="N25" s="10">
        <f>N21+'2017'!$P$11-'2017'!N21</f>
        <v>8029.0941379310343</v>
      </c>
      <c r="O25" s="10">
        <f>O21+'2017'!$P$11-'2017'!O21</f>
        <v>8112.9441379310338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0.49283401295274709</v>
      </c>
      <c r="E27" s="51">
        <f t="shared" si="13"/>
        <v>0.54862558390226335</v>
      </c>
      <c r="F27" s="51">
        <f t="shared" si="13"/>
        <v>0.49391626751484452</v>
      </c>
      <c r="G27" s="51">
        <f t="shared" si="13"/>
        <v>0.29750233642460266</v>
      </c>
      <c r="H27" s="51">
        <f t="shared" si="13"/>
        <v>5.0963375232885841E-2</v>
      </c>
      <c r="I27" s="51">
        <f t="shared" si="13"/>
        <v>5.2312238674587119E-2</v>
      </c>
      <c r="J27" s="51">
        <f t="shared" si="13"/>
        <v>2.7980339875999988E-2</v>
      </c>
      <c r="K27" s="51">
        <f t="shared" si="13"/>
        <v>2.9373368146215419E-2</v>
      </c>
      <c r="L27" s="51">
        <f t="shared" si="13"/>
        <v>0.10798474332520372</v>
      </c>
      <c r="M27" s="51">
        <f t="shared" si="13"/>
        <v>0.31462990516824157</v>
      </c>
      <c r="N27" s="51">
        <f t="shared" si="13"/>
        <v>0.35296574770259054</v>
      </c>
      <c r="O27" s="51">
        <f t="shared" si="13"/>
        <v>0.45176214998390718</v>
      </c>
      <c r="P27" s="51">
        <f t="shared" si="13"/>
        <v>0.34937748267583296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163</v>
      </c>
      <c r="D28" s="4">
        <f t="shared" ref="D28:H28" si="14">D16/D13</f>
        <v>0.79333154574132592</v>
      </c>
      <c r="E28" s="4">
        <f t="shared" si="14"/>
        <v>0.84181702702702643</v>
      </c>
      <c r="F28" s="4">
        <f t="shared" si="14"/>
        <v>0.74563704735376035</v>
      </c>
      <c r="G28" s="4">
        <f t="shared" si="14"/>
        <v>0.53625157894736775</v>
      </c>
      <c r="H28" s="4">
        <f t="shared" si="14"/>
        <v>0.48982666666667984</v>
      </c>
      <c r="I28" s="52"/>
      <c r="J28" s="52"/>
      <c r="K28" s="52"/>
      <c r="L28" s="4">
        <f t="shared" ref="L28:P28" si="15">L16/L13</f>
        <v>0.42276959999999586</v>
      </c>
      <c r="M28" s="4">
        <f t="shared" si="15"/>
        <v>0.48383837837837895</v>
      </c>
      <c r="N28" s="4">
        <f t="shared" si="15"/>
        <v>0.61290666666666793</v>
      </c>
      <c r="O28" s="4">
        <f t="shared" si="15"/>
        <v>0.74133203883495125</v>
      </c>
      <c r="P28" s="4">
        <f t="shared" si="15"/>
        <v>0.70430440925700388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15.906774193548406</v>
      </c>
      <c r="E29" s="4">
        <f t="shared" si="16"/>
        <v>21.811785714285698</v>
      </c>
      <c r="F29" s="4">
        <f t="shared" si="16"/>
        <v>16.93129032258064</v>
      </c>
      <c r="G29" s="4">
        <f t="shared" si="16"/>
        <v>6.6593333333333247</v>
      </c>
      <c r="H29" s="4">
        <f t="shared" si="16"/>
        <v>0.69709677419356719</v>
      </c>
      <c r="I29" s="4">
        <f t="shared" si="16"/>
        <v>0.55466666666664721</v>
      </c>
      <c r="J29" s="4">
        <f t="shared" si="16"/>
        <v>0.28096774193548507</v>
      </c>
      <c r="K29" s="4">
        <f t="shared" si="16"/>
        <v>0.39193548387098537</v>
      </c>
      <c r="L29" s="4">
        <f t="shared" si="16"/>
        <v>1.726999999999983</v>
      </c>
      <c r="M29" s="4">
        <f t="shared" si="16"/>
        <v>5.6616129032258131</v>
      </c>
      <c r="N29" s="4">
        <f t="shared" si="16"/>
        <v>9.0133333333333514</v>
      </c>
      <c r="O29" s="4">
        <f t="shared" si="16"/>
        <v>14.489032258064512</v>
      </c>
      <c r="P29" s="4">
        <f t="shared" si="16"/>
        <v>7.7656986301369875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18.221034211865295</v>
      </c>
      <c r="E30" s="4">
        <f t="shared" si="17"/>
        <v>19.963089498069483</v>
      </c>
      <c r="F30" s="4">
        <f t="shared" si="17"/>
        <v>14.383579171533828</v>
      </c>
      <c r="G30" s="4">
        <f t="shared" si="17"/>
        <v>6.9176453684210442</v>
      </c>
      <c r="H30" s="4">
        <f t="shared" si="17"/>
        <v>2.4649341935484537</v>
      </c>
      <c r="I30" s="4">
        <f t="shared" si="17"/>
        <v>0.55466666666664721</v>
      </c>
      <c r="J30" s="4">
        <f t="shared" si="17"/>
        <v>0.28096774193548507</v>
      </c>
      <c r="K30" s="4">
        <f t="shared" si="17"/>
        <v>0.39193548387098537</v>
      </c>
      <c r="L30" s="4">
        <f t="shared" si="17"/>
        <v>2.6352638399999737</v>
      </c>
      <c r="M30" s="4">
        <f t="shared" si="17"/>
        <v>5.8528836094158745</v>
      </c>
      <c r="N30" s="4">
        <f t="shared" si="17"/>
        <v>10.582855111111133</v>
      </c>
      <c r="O30" s="4">
        <f t="shared" si="17"/>
        <v>15.663628562480422</v>
      </c>
      <c r="P30" s="4">
        <f t="shared" si="17"/>
        <v>8.0950884595782746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164</v>
      </c>
      <c r="D31" s="4">
        <f t="shared" ref="D31:P31" si="18">D16/$F$4</f>
        <v>2.0383184523809548</v>
      </c>
      <c r="E31" s="4">
        <f t="shared" si="18"/>
        <v>2.5245122354497336</v>
      </c>
      <c r="F31" s="4">
        <f t="shared" si="18"/>
        <v>2.1696015211640205</v>
      </c>
      <c r="G31" s="4">
        <f t="shared" si="18"/>
        <v>0.82581018518518412</v>
      </c>
      <c r="H31" s="4">
        <f t="shared" si="18"/>
        <v>8.9327050264552663E-2</v>
      </c>
      <c r="I31" s="4">
        <f t="shared" si="18"/>
        <v>6.8783068783066378E-2</v>
      </c>
      <c r="J31" s="4">
        <f t="shared" si="18"/>
        <v>3.6003637566137711E-2</v>
      </c>
      <c r="K31" s="4">
        <f t="shared" si="18"/>
        <v>5.0223214285716536E-2</v>
      </c>
      <c r="L31" s="4">
        <f t="shared" si="18"/>
        <v>0.21416170634920423</v>
      </c>
      <c r="M31" s="4">
        <f t="shared" si="18"/>
        <v>0.72548776455026542</v>
      </c>
      <c r="N31" s="4">
        <f t="shared" si="18"/>
        <v>1.1177248677248699</v>
      </c>
      <c r="O31" s="4">
        <f t="shared" si="18"/>
        <v>1.8566468253968247</v>
      </c>
      <c r="P31" s="4">
        <f t="shared" si="18"/>
        <v>11.71660052910053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165</v>
      </c>
      <c r="D32" s="4">
        <f t="shared" ref="D32:P32" si="19">D16/$F$3</f>
        <v>5.1365625000000064</v>
      </c>
      <c r="E32" s="4">
        <f t="shared" si="19"/>
        <v>6.3617708333333285</v>
      </c>
      <c r="F32" s="4">
        <f t="shared" si="19"/>
        <v>5.4673958333333319</v>
      </c>
      <c r="G32" s="4">
        <f t="shared" si="19"/>
        <v>2.081041666666664</v>
      </c>
      <c r="H32" s="4">
        <f t="shared" si="19"/>
        <v>0.22510416666667274</v>
      </c>
      <c r="I32" s="4">
        <f t="shared" si="19"/>
        <v>0.17333333333332726</v>
      </c>
      <c r="J32" s="4">
        <f t="shared" si="19"/>
        <v>9.0729166666667041E-2</v>
      </c>
      <c r="K32" s="4">
        <f t="shared" si="19"/>
        <v>0.12656250000000568</v>
      </c>
      <c r="L32" s="4">
        <f t="shared" si="19"/>
        <v>0.53968749999999466</v>
      </c>
      <c r="M32" s="4">
        <f t="shared" si="19"/>
        <v>1.828229166666669</v>
      </c>
      <c r="N32" s="4">
        <f t="shared" si="19"/>
        <v>2.8166666666666722</v>
      </c>
      <c r="O32" s="4">
        <f t="shared" si="19"/>
        <v>4.6787499999999982</v>
      </c>
      <c r="P32" s="4">
        <f t="shared" si="19"/>
        <v>29.525833333333338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166</v>
      </c>
      <c r="D33" s="4">
        <f t="shared" ref="D33:P33" si="20">D17/$F$4</f>
        <v>2.3348712821090611</v>
      </c>
      <c r="E33" s="4">
        <f t="shared" si="20"/>
        <v>2.310542765980264</v>
      </c>
      <c r="F33" s="4">
        <f t="shared" si="20"/>
        <v>1.8431339050824598</v>
      </c>
      <c r="G33" s="4">
        <f t="shared" si="20"/>
        <v>0.85784292763157777</v>
      </c>
      <c r="H33" s="4">
        <f t="shared" si="20"/>
        <v>0.31586044973545824</v>
      </c>
      <c r="I33" s="4">
        <f t="shared" si="20"/>
        <v>6.8783068783066378E-2</v>
      </c>
      <c r="J33" s="4">
        <f t="shared" si="20"/>
        <v>3.6003637566137711E-2</v>
      </c>
      <c r="K33" s="4">
        <f t="shared" si="20"/>
        <v>5.0223214285716536E-2</v>
      </c>
      <c r="L33" s="4">
        <f t="shared" si="20"/>
        <v>0.32679363095237768</v>
      </c>
      <c r="M33" s="4">
        <f t="shared" si="20"/>
        <v>0.74999748632561225</v>
      </c>
      <c r="N33" s="4">
        <f t="shared" si="20"/>
        <v>1.3123580246913606</v>
      </c>
      <c r="O33" s="4">
        <f t="shared" si="20"/>
        <v>2.0071613981353051</v>
      </c>
      <c r="P33" s="4">
        <f t="shared" si="20"/>
        <v>12.213571791278397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167</v>
      </c>
      <c r="D34" s="4">
        <f t="shared" ref="D34:P34" si="21">D17/$F$3</f>
        <v>5.8838756309148339</v>
      </c>
      <c r="E34" s="4">
        <f t="shared" si="21"/>
        <v>5.8225677702702656</v>
      </c>
      <c r="F34" s="4">
        <f t="shared" si="21"/>
        <v>4.644697440807799</v>
      </c>
      <c r="G34" s="4">
        <f t="shared" si="21"/>
        <v>2.1617641776315764</v>
      </c>
      <c r="H34" s="4">
        <f t="shared" si="21"/>
        <v>0.79596833333335482</v>
      </c>
      <c r="I34" s="4">
        <f t="shared" si="21"/>
        <v>0.17333333333332726</v>
      </c>
      <c r="J34" s="4">
        <f t="shared" si="21"/>
        <v>9.0729166666667041E-2</v>
      </c>
      <c r="K34" s="4">
        <f t="shared" si="21"/>
        <v>0.12656250000000568</v>
      </c>
      <c r="L34" s="4">
        <f t="shared" si="21"/>
        <v>0.82351994999999178</v>
      </c>
      <c r="M34" s="4">
        <f t="shared" si="21"/>
        <v>1.8899936655405429</v>
      </c>
      <c r="N34" s="4">
        <f t="shared" si="21"/>
        <v>3.3071422222222289</v>
      </c>
      <c r="O34" s="4">
        <f t="shared" si="21"/>
        <v>5.0580467233009694</v>
      </c>
      <c r="P34" s="4">
        <f t="shared" si="21"/>
        <v>30.778200914021564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168</v>
      </c>
      <c r="D35" s="4">
        <f t="shared" ref="D35:H35" si="22">1000*D31/D13</f>
        <v>3.2793135984677826</v>
      </c>
      <c r="E35" s="4">
        <f t="shared" si="22"/>
        <v>3.4797330812955787</v>
      </c>
      <c r="F35" s="4">
        <f t="shared" si="22"/>
        <v>3.0821637208736785</v>
      </c>
      <c r="G35" s="4">
        <f t="shared" si="22"/>
        <v>2.2166483918128623</v>
      </c>
      <c r="H35" s="4">
        <f t="shared" si="22"/>
        <v>2.0247464726631939</v>
      </c>
      <c r="I35" s="52"/>
      <c r="J35" s="52"/>
      <c r="K35" s="52"/>
      <c r="L35" s="4">
        <f t="shared" ref="L35:P35" si="23">1000*L31/L13</f>
        <v>1.7475595238095065</v>
      </c>
      <c r="M35" s="4">
        <f t="shared" si="23"/>
        <v>1.9999932968682992</v>
      </c>
      <c r="N35" s="4">
        <f t="shared" si="23"/>
        <v>2.5335097001763716</v>
      </c>
      <c r="O35" s="4">
        <f t="shared" si="23"/>
        <v>3.0643685467714583</v>
      </c>
      <c r="P35" s="4">
        <f t="shared" si="23"/>
        <v>2.9113112155134084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2"/>
      <c r="D46" s="4">
        <v>4.8899999999999997</v>
      </c>
      <c r="E46" s="4">
        <v>5.69</v>
      </c>
      <c r="F46" s="4">
        <v>6</v>
      </c>
      <c r="G46" s="4">
        <v>5.19</v>
      </c>
      <c r="H46" s="4">
        <v>4.53</v>
      </c>
      <c r="I46" s="4">
        <v>6.08</v>
      </c>
      <c r="J46" s="4">
        <v>7.04</v>
      </c>
      <c r="K46" s="4">
        <v>7.14</v>
      </c>
      <c r="L46" s="4">
        <v>6.53</v>
      </c>
      <c r="M46" s="4">
        <v>5.92</v>
      </c>
      <c r="N46" s="4">
        <v>6.47</v>
      </c>
      <c r="O46" s="4">
        <v>6.74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(SUMPRODUCT($D$46:D46,$D$11:D11)+SUMPRODUCT('2017'!E$46:$O46,'2017'!E$11:$O11))/(D21+SUM('2017'!E$11:$O11))</f>
        <v>4.4179996844468077</v>
      </c>
      <c r="E48" s="18">
        <f>(SUMPRODUCT($D$46:E46,$D$11:E11)+SUMPRODUCT('2017'!F$46:$O46,'2017'!F$11:$O11))/(E21+SUM('2017'!F$11:$O11))</f>
        <v>4.5697523179741504</v>
      </c>
      <c r="F48" s="18">
        <f>(SUMPRODUCT($D$46:F46,$D$11:F11)+SUMPRODUCT('2017'!G$46:$O46,'2017'!G$11:$O11))/(F21+SUM('2017'!G$11:$O11))</f>
        <v>4.7961471891196616</v>
      </c>
      <c r="G48" s="18">
        <f>(SUMPRODUCT($D$46:G46,$D$11:G11)+SUMPRODUCT('2017'!H$46:$O46,'2017'!H$11:$O11))/(G21+SUM('2017'!H$11:$O11))</f>
        <v>4.8951317400577397</v>
      </c>
      <c r="H48" s="18">
        <f>(SUMPRODUCT($D$46:H46,$D$11:H11)+SUMPRODUCT('2017'!I$46:$O46,'2017'!I$11:$O11))/(H21+SUM('2017'!I$11:$O11))</f>
        <v>4.9231253957928702</v>
      </c>
      <c r="I48" s="18">
        <f>(SUMPRODUCT($D$46:I46,$D$11:I11)+SUMPRODUCT('2017'!J$46:$O46,'2017'!J$11:$O11))/(I21+SUM('2017'!J$11:$O11))</f>
        <v>5.005124221267188</v>
      </c>
      <c r="J48" s="18">
        <f>(SUMPRODUCT($D$46:J46,$D$11:J11)+SUMPRODUCT('2017'!K$46:$O46,'2017'!K$11:$O11))/(J21+SUM('2017'!K$11:$O11))</f>
        <v>5.1110759781351263</v>
      </c>
      <c r="K48" s="18">
        <f>(SUMPRODUCT($D$46:K46,$D$11:K11)+SUMPRODUCT('2017'!L$46:$O46,'2017'!L$11:$O11))/(K21+SUM('2017'!L$11:$O11))</f>
        <v>5.2351772857089003</v>
      </c>
      <c r="L48" s="18">
        <f>(SUMPRODUCT($D$46:L46,$D$11:L11)+SUMPRODUCT('2017'!M$46:$O46,'2017'!M$11:$O11))/(L21+SUM('2017'!M$11:$O11))</f>
        <v>5.3380807779288775</v>
      </c>
      <c r="M48" s="18">
        <f>(SUMPRODUCT($D$46:M46,$D$11:M11)+SUMPRODUCT('2017'!N$46:$O46,'2017'!N$11:$O11))/(M21+SUM('2017'!N$11:$O11))</f>
        <v>5.4600146290676292</v>
      </c>
      <c r="N48" s="18">
        <f>(SUMPRODUCT($D$46:N46,$D$11:N11)+SUMPRODUCT('2017'!O$46:$O46,'2017'!O$11:$O11))/(N21+SUM('2017'!O$11:$O11))</f>
        <v>5.6446662471864704</v>
      </c>
      <c r="O48" s="18">
        <f>(SUMPRODUCT($D$46:O46,$D$11:O11))/(O21)</f>
        <v>5.9387674383949562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74">
        <v>39.369999999999997</v>
      </c>
      <c r="C51" s="74" t="s">
        <v>169</v>
      </c>
      <c r="D51" s="4">
        <f t="shared" ref="D51:O51" si="24">64.99+$B$51*(D11-250)/100</f>
        <v>360.48547199999996</v>
      </c>
      <c r="E51" s="4">
        <f t="shared" si="24"/>
        <v>404.83184</v>
      </c>
      <c r="F51" s="4">
        <f t="shared" si="24"/>
        <v>384.93817900000005</v>
      </c>
      <c r="G51" s="4">
        <f t="shared" si="24"/>
        <v>230.94405310344803</v>
      </c>
      <c r="H51" s="4">
        <f t="shared" si="24"/>
        <v>133.50561099999999</v>
      </c>
      <c r="I51" s="4">
        <f t="shared" si="24"/>
        <v>91.797032999999999</v>
      </c>
      <c r="J51" s="4">
        <f t="shared" si="24"/>
        <v>89.119872999999998</v>
      </c>
      <c r="K51" s="4">
        <f t="shared" si="24"/>
        <v>129.41506799999999</v>
      </c>
      <c r="L51" s="4">
        <f t="shared" si="24"/>
        <v>155.45832299999998</v>
      </c>
      <c r="M51" s="4">
        <f t="shared" si="24"/>
        <v>186.182671</v>
      </c>
      <c r="N51" s="4">
        <f t="shared" si="24"/>
        <v>268.17069599999996</v>
      </c>
      <c r="O51" s="4">
        <f t="shared" si="24"/>
        <v>357.99728799999997</v>
      </c>
      <c r="P51" s="4">
        <f>SUM(D51:N51)</f>
        <v>2434.848819103448</v>
      </c>
      <c r="Q51" s="2"/>
      <c r="R51" s="2"/>
      <c r="S51" s="2"/>
      <c r="T51" s="39">
        <f t="shared" ref="T51:T52" si="25">SUM(D51:F51,N51:O51,M51)</f>
        <v>1962.6061459999999</v>
      </c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74">
        <v>22.9</v>
      </c>
      <c r="C52" s="74" t="s">
        <v>169</v>
      </c>
      <c r="D52" s="4">
        <f t="shared" ref="D52:O52" si="26">$B$52*D11/100+$B$53</f>
        <v>232.61823999999999</v>
      </c>
      <c r="E52" s="4">
        <f t="shared" si="26"/>
        <v>258.4128</v>
      </c>
      <c r="F52" s="4">
        <f t="shared" si="26"/>
        <v>246.84143</v>
      </c>
      <c r="G52" s="4">
        <f t="shared" si="26"/>
        <v>157.26902758620676</v>
      </c>
      <c r="H52" s="4">
        <f t="shared" si="26"/>
        <v>100.59286999999998</v>
      </c>
      <c r="I52" s="4">
        <f t="shared" si="26"/>
        <v>76.332610000000003</v>
      </c>
      <c r="J52" s="4">
        <f t="shared" si="26"/>
        <v>74.775409999999994</v>
      </c>
      <c r="K52" s="4">
        <f t="shared" si="26"/>
        <v>98.213559999999987</v>
      </c>
      <c r="L52" s="4">
        <f t="shared" si="26"/>
        <v>113.36190999999998</v>
      </c>
      <c r="M52" s="4">
        <f t="shared" si="26"/>
        <v>131.23307</v>
      </c>
      <c r="N52" s="4">
        <f t="shared" si="26"/>
        <v>178.92231999999998</v>
      </c>
      <c r="O52" s="4">
        <f t="shared" si="26"/>
        <v>231.17095999999998</v>
      </c>
      <c r="P52" s="4">
        <f>SUM(D52:O52)</f>
        <v>1899.7442075862066</v>
      </c>
      <c r="Q52" s="2"/>
      <c r="R52" s="39">
        <f>P51-P52</f>
        <v>535.10461151724144</v>
      </c>
      <c r="S52" s="2"/>
      <c r="T52" s="39">
        <f t="shared" si="25"/>
        <v>1279.1988200000001</v>
      </c>
      <c r="U52" s="39">
        <f>T51-T52</f>
        <v>683.40732599999978</v>
      </c>
      <c r="V52" s="2"/>
      <c r="W52" s="2"/>
      <c r="X52" s="2"/>
      <c r="Y52" s="2"/>
      <c r="Z52" s="2"/>
    </row>
    <row r="53" spans="1:26" ht="12.75" customHeight="1" x14ac:dyDescent="0.25">
      <c r="A53" s="2"/>
      <c r="B53" s="74">
        <v>3.49</v>
      </c>
      <c r="C53" s="74" t="s">
        <v>170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>
        <f>SUM(M52:O52,D52:L52,D52:O52)</f>
        <v>3799.4884151724136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>
        <f>SUM(M51:O51,D51:J51)+0.14*SUM(K11:O11,D11:L11)+14*1.5</f>
        <v>3789.8650954137929</v>
      </c>
      <c r="Q55" s="2"/>
      <c r="R55" s="39">
        <f>P55-P54</f>
        <v>-9.6233197586207098</v>
      </c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B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171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11.311413043478263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172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50"/>
      <c r="H5" s="4"/>
      <c r="I5" s="50"/>
      <c r="J5" s="4"/>
      <c r="K5" s="50"/>
      <c r="L5" s="50"/>
      <c r="M5" s="50"/>
      <c r="N5" s="50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2017</v>
      </c>
      <c r="B8" s="25" t="s">
        <v>27</v>
      </c>
      <c r="C8" s="26" t="s">
        <v>173</v>
      </c>
      <c r="D8" s="27">
        <v>-3.6</v>
      </c>
      <c r="E8" s="27">
        <v>-4.0999999999999996</v>
      </c>
      <c r="F8" s="27">
        <v>0.3</v>
      </c>
      <c r="G8" s="27">
        <v>1.8</v>
      </c>
      <c r="H8" s="27">
        <v>9</v>
      </c>
      <c r="I8" s="27">
        <v>12.9</v>
      </c>
      <c r="J8" s="27">
        <v>15</v>
      </c>
      <c r="K8" s="27">
        <v>14.8</v>
      </c>
      <c r="L8" s="27">
        <v>10.5</v>
      </c>
      <c r="M8" s="27">
        <v>4.3</v>
      </c>
      <c r="N8" s="27">
        <v>1.8</v>
      </c>
      <c r="O8" s="28">
        <v>-0.1</v>
      </c>
      <c r="P8" s="27">
        <f>AVERAGE(D8:O8)</f>
        <v>5.2166666666666659</v>
      </c>
      <c r="Q8" s="2"/>
      <c r="R8" s="29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2017</v>
      </c>
      <c r="B9" s="25" t="s">
        <v>29</v>
      </c>
      <c r="C9" s="30" t="s">
        <v>30</v>
      </c>
      <c r="D9" s="31">
        <v>579.30999999999995</v>
      </c>
      <c r="E9" s="31">
        <v>462.45</v>
      </c>
      <c r="F9" s="31">
        <v>406.07</v>
      </c>
      <c r="G9" s="31">
        <v>401.23</v>
      </c>
      <c r="H9" s="31">
        <v>217.86</v>
      </c>
      <c r="I9" s="31">
        <v>145.41999999999999</v>
      </c>
      <c r="J9" s="31">
        <v>214.93</v>
      </c>
      <c r="K9" s="31">
        <v>209.44</v>
      </c>
      <c r="L9" s="31">
        <v>214.72</v>
      </c>
      <c r="M9" s="31">
        <v>327.08999999999997</v>
      </c>
      <c r="N9" s="31">
        <v>419.42</v>
      </c>
      <c r="O9" s="32">
        <v>526.54</v>
      </c>
      <c r="P9" s="31">
        <f t="shared" ref="P9:P17" si="0">SUM(D9:O9)</f>
        <v>4124.4799999999996</v>
      </c>
      <c r="Q9" s="2"/>
      <c r="R9" s="34">
        <f t="shared" ref="R9:R12" si="1">P9/$P$11</f>
        <v>0.54921595363899767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2017</v>
      </c>
      <c r="B10" s="25" t="s">
        <v>31</v>
      </c>
      <c r="C10" s="30" t="s">
        <v>30</v>
      </c>
      <c r="D10" s="31">
        <v>388.7</v>
      </c>
      <c r="E10" s="31">
        <v>389.91</v>
      </c>
      <c r="F10" s="31">
        <v>304.12</v>
      </c>
      <c r="G10" s="31">
        <v>346.22</v>
      </c>
      <c r="H10" s="31">
        <v>237.32</v>
      </c>
      <c r="I10" s="31">
        <v>150.41999999999999</v>
      </c>
      <c r="J10" s="31">
        <v>158.97999999999999</v>
      </c>
      <c r="K10" s="31">
        <v>161.46</v>
      </c>
      <c r="L10" s="31">
        <v>221.61</v>
      </c>
      <c r="M10" s="31">
        <v>308.02</v>
      </c>
      <c r="N10" s="66">
        <v>334.67</v>
      </c>
      <c r="O10" s="37">
        <v>383.85</v>
      </c>
      <c r="P10" s="38">
        <f t="shared" si="0"/>
        <v>3385.28</v>
      </c>
      <c r="Q10" s="39"/>
      <c r="R10" s="34">
        <f t="shared" si="1"/>
        <v>0.45078404636100222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2017</v>
      </c>
      <c r="B11" s="25" t="s">
        <v>32</v>
      </c>
      <c r="C11" s="30" t="s">
        <v>30</v>
      </c>
      <c r="D11" s="31">
        <f t="shared" ref="D11:O11" si="2">SUM(D9:D10)</f>
        <v>968.01</v>
      </c>
      <c r="E11" s="31">
        <f t="shared" si="2"/>
        <v>852.36</v>
      </c>
      <c r="F11" s="31">
        <f t="shared" si="2"/>
        <v>710.19</v>
      </c>
      <c r="G11" s="31">
        <f t="shared" si="2"/>
        <v>747.45</v>
      </c>
      <c r="H11" s="31">
        <f t="shared" si="2"/>
        <v>455.18</v>
      </c>
      <c r="I11" s="31">
        <f t="shared" si="2"/>
        <v>295.83999999999997</v>
      </c>
      <c r="J11" s="31">
        <f t="shared" si="2"/>
        <v>373.90999999999997</v>
      </c>
      <c r="K11" s="31">
        <f t="shared" si="2"/>
        <v>370.9</v>
      </c>
      <c r="L11" s="31">
        <f t="shared" si="2"/>
        <v>436.33000000000004</v>
      </c>
      <c r="M11" s="31">
        <f t="shared" si="2"/>
        <v>635.1099999999999</v>
      </c>
      <c r="N11" s="31">
        <f t="shared" si="2"/>
        <v>754.09</v>
      </c>
      <c r="O11" s="72">
        <f t="shared" si="2"/>
        <v>910.39</v>
      </c>
      <c r="P11" s="40">
        <f t="shared" si="0"/>
        <v>7509.76</v>
      </c>
      <c r="Q11" s="39"/>
      <c r="R11" s="34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2017</v>
      </c>
      <c r="B12" s="25" t="s">
        <v>33</v>
      </c>
      <c r="C12" s="30" t="s">
        <v>30</v>
      </c>
      <c r="D12" s="31">
        <f>(1573.83-1086.54)</f>
        <v>487.28999999999996</v>
      </c>
      <c r="E12" s="31">
        <f>(1999.37-1573.83)</f>
        <v>425.53999999999996</v>
      </c>
      <c r="F12" s="31">
        <f>(2330.5-1999.37)</f>
        <v>331.13000000000011</v>
      </c>
      <c r="G12" s="31">
        <f>2584.4-2330.5</f>
        <v>253.90000000000009</v>
      </c>
      <c r="H12" s="31">
        <f>(2696.22-2584.4)</f>
        <v>111.81999999999971</v>
      </c>
      <c r="I12" s="31">
        <f>2731.5-2696.22</f>
        <v>35.2800000000002</v>
      </c>
      <c r="J12" s="31">
        <f>(2750.51-2731.5-1)</f>
        <v>18.010000000000218</v>
      </c>
      <c r="K12" s="31">
        <f>(2776.78-2750.51)</f>
        <v>26.269999999999982</v>
      </c>
      <c r="L12" s="31">
        <f>(2854.29-2776.78)</f>
        <v>77.509999999999764</v>
      </c>
      <c r="M12" s="31">
        <f>(3059.38-2854.29)</f>
        <v>205.09000000000015</v>
      </c>
      <c r="N12" s="31">
        <f>(3340.5-3059.38)</f>
        <v>281.11999999999989</v>
      </c>
      <c r="O12" s="31">
        <f>(3705.91-3340.5)</f>
        <v>365.40999999999985</v>
      </c>
      <c r="P12" s="31">
        <f t="shared" si="0"/>
        <v>2618.37</v>
      </c>
      <c r="Q12" s="39"/>
      <c r="R12" s="34">
        <f t="shared" si="1"/>
        <v>0.34866227416055906</v>
      </c>
      <c r="S12" s="34"/>
      <c r="T12" s="29"/>
      <c r="U12" s="29"/>
      <c r="V12" s="2"/>
      <c r="W12" s="36"/>
      <c r="X12" s="11">
        <f>P12+'2016'!X12</f>
        <v>17475.840714285714</v>
      </c>
      <c r="Y12" s="2"/>
      <c r="Z12" s="11"/>
    </row>
    <row r="13" spans="1:26" ht="12.75" customHeight="1" x14ac:dyDescent="0.25">
      <c r="A13" s="24">
        <v>2017</v>
      </c>
      <c r="B13" s="41" t="s">
        <v>36</v>
      </c>
      <c r="C13" s="26" t="s">
        <v>174</v>
      </c>
      <c r="D13" s="31">
        <f>647/1.02</f>
        <v>634.31372549019602</v>
      </c>
      <c r="E13" s="31">
        <f>602/1.02</f>
        <v>590.19607843137248</v>
      </c>
      <c r="F13" s="31">
        <f>524/1.02</f>
        <v>513.72549019607845</v>
      </c>
      <c r="G13" s="31">
        <f>460/1.02</f>
        <v>450.98039215686276</v>
      </c>
      <c r="H13" s="42">
        <f>219/1.02</f>
        <v>214.70588235294116</v>
      </c>
      <c r="I13" s="31">
        <f>54/1.02</f>
        <v>52.941176470588232</v>
      </c>
      <c r="J13" s="31">
        <f>12/1.02</f>
        <v>11.76470588235294</v>
      </c>
      <c r="K13" s="31">
        <f>35/1.02</f>
        <v>34.313725490196077</v>
      </c>
      <c r="L13" s="31">
        <f>188/1.02</f>
        <v>184.31372549019608</v>
      </c>
      <c r="M13" s="31">
        <f>393/1.02</f>
        <v>385.29411764705884</v>
      </c>
      <c r="N13" s="31">
        <f>470/1.02</f>
        <v>460.78431372549016</v>
      </c>
      <c r="O13" s="42">
        <f>540/1.02</f>
        <v>529.41176470588232</v>
      </c>
      <c r="P13" s="31">
        <f t="shared" si="0"/>
        <v>4062.7450980392164</v>
      </c>
      <c r="Q13" s="36"/>
      <c r="R13" s="34">
        <f>(P14-P13)/P14</f>
        <v>5.6492081272824811E-2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2017</v>
      </c>
      <c r="B14" s="41" t="s">
        <v>39</v>
      </c>
      <c r="C14" s="26" t="s">
        <v>175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2017</v>
      </c>
      <c r="B15" s="25" t="s">
        <v>41</v>
      </c>
      <c r="C15" s="30" t="s">
        <v>30</v>
      </c>
      <c r="D15" s="31">
        <v>174.4</v>
      </c>
      <c r="E15" s="31">
        <v>180.2</v>
      </c>
      <c r="F15" s="31">
        <v>174</v>
      </c>
      <c r="G15" s="31">
        <v>195.6</v>
      </c>
      <c r="H15" s="31">
        <v>141.1</v>
      </c>
      <c r="I15" s="31">
        <v>106.2</v>
      </c>
      <c r="J15" s="31">
        <f>131</f>
        <v>131</v>
      </c>
      <c r="K15" s="31">
        <v>161.9</v>
      </c>
      <c r="L15" s="31">
        <v>164.4</v>
      </c>
      <c r="M15" s="31">
        <v>179.5</v>
      </c>
      <c r="N15" s="31">
        <v>192.8</v>
      </c>
      <c r="O15" s="42">
        <v>196.4</v>
      </c>
      <c r="P15" s="31">
        <f t="shared" si="0"/>
        <v>1997.5000000000002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2017</v>
      </c>
      <c r="B16" s="25" t="s">
        <v>42</v>
      </c>
      <c r="C16" s="30" t="s">
        <v>30</v>
      </c>
      <c r="D16" s="31">
        <f t="shared" ref="D16:O16" si="3">D12</f>
        <v>487.28999999999996</v>
      </c>
      <c r="E16" s="31">
        <f t="shared" si="3"/>
        <v>425.53999999999996</v>
      </c>
      <c r="F16" s="31">
        <f t="shared" si="3"/>
        <v>331.13000000000011</v>
      </c>
      <c r="G16" s="31">
        <f t="shared" si="3"/>
        <v>253.90000000000009</v>
      </c>
      <c r="H16" s="31">
        <f t="shared" si="3"/>
        <v>111.81999999999971</v>
      </c>
      <c r="I16" s="31">
        <f t="shared" si="3"/>
        <v>35.2800000000002</v>
      </c>
      <c r="J16" s="31">
        <f t="shared" si="3"/>
        <v>18.010000000000218</v>
      </c>
      <c r="K16" s="31">
        <f t="shared" si="3"/>
        <v>26.269999999999982</v>
      </c>
      <c r="L16" s="31">
        <f t="shared" si="3"/>
        <v>77.509999999999764</v>
      </c>
      <c r="M16" s="31">
        <f t="shared" si="3"/>
        <v>205.09000000000015</v>
      </c>
      <c r="N16" s="31">
        <f t="shared" si="3"/>
        <v>281.11999999999989</v>
      </c>
      <c r="O16" s="31">
        <f t="shared" si="3"/>
        <v>365.40999999999985</v>
      </c>
      <c r="P16" s="31">
        <f t="shared" si="0"/>
        <v>2618.37</v>
      </c>
      <c r="Q16" s="2"/>
      <c r="R16" s="11">
        <f>P11-P15-P16</f>
        <v>2893.8900000000003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2017</v>
      </c>
      <c r="B17" s="25" t="s">
        <v>43</v>
      </c>
      <c r="C17" s="30" t="s">
        <v>30</v>
      </c>
      <c r="D17" s="31">
        <f t="shared" ref="D17:H17" si="4">IF(D16&lt;0,0,((D14/D13))*D16)</f>
        <v>546.96984482225662</v>
      </c>
      <c r="E17" s="31">
        <f t="shared" si="4"/>
        <v>478.75370631229242</v>
      </c>
      <c r="F17" s="31">
        <f t="shared" si="4"/>
        <v>385.45048625954206</v>
      </c>
      <c r="G17" s="31">
        <f t="shared" si="4"/>
        <v>217.87931739130443</v>
      </c>
      <c r="H17" s="31">
        <f t="shared" si="4"/>
        <v>81.245654794520348</v>
      </c>
      <c r="I17" s="46">
        <f t="shared" ref="I17:K17" si="5">I16</f>
        <v>35.2800000000002</v>
      </c>
      <c r="J17" s="46">
        <f t="shared" si="5"/>
        <v>18.010000000000218</v>
      </c>
      <c r="K17" s="46">
        <f t="shared" si="5"/>
        <v>26.269999999999982</v>
      </c>
      <c r="L17" s="31">
        <f t="shared" ref="L17:O17" si="6">IF(L16&lt;0,0,((L14/L13))*L16)</f>
        <v>78.639667021276352</v>
      </c>
      <c r="M17" s="31">
        <f t="shared" si="6"/>
        <v>199.61049618320624</v>
      </c>
      <c r="N17" s="31">
        <f t="shared" si="6"/>
        <v>316.02673021276587</v>
      </c>
      <c r="O17" s="42">
        <f t="shared" si="6"/>
        <v>452.09337222222206</v>
      </c>
      <c r="P17" s="40">
        <f t="shared" si="0"/>
        <v>2836.2292752193871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31.226129032258065</v>
      </c>
      <c r="E20" s="4">
        <f t="shared" si="7"/>
        <v>30.44142857142857</v>
      </c>
      <c r="F20" s="4">
        <f t="shared" si="7"/>
        <v>22.909354838709678</v>
      </c>
      <c r="G20" s="4">
        <f t="shared" si="7"/>
        <v>24.915000000000003</v>
      </c>
      <c r="H20" s="4">
        <f t="shared" si="7"/>
        <v>14.683225806451613</v>
      </c>
      <c r="I20" s="4">
        <f t="shared" si="7"/>
        <v>9.8613333333333326</v>
      </c>
      <c r="J20" s="4">
        <f t="shared" si="7"/>
        <v>12.061612903225805</v>
      </c>
      <c r="K20" s="4">
        <f t="shared" si="7"/>
        <v>11.964516129032257</v>
      </c>
      <c r="L20" s="4">
        <f t="shared" si="7"/>
        <v>14.544333333333334</v>
      </c>
      <c r="M20" s="4">
        <f t="shared" si="7"/>
        <v>20.487419354838707</v>
      </c>
      <c r="N20" s="4">
        <f t="shared" si="7"/>
        <v>25.136333333333333</v>
      </c>
      <c r="O20" s="4">
        <f t="shared" si="7"/>
        <v>29.367419354838709</v>
      </c>
      <c r="P20" s="4">
        <f>P11/365</f>
        <v>20.574684931506852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968.01</v>
      </c>
      <c r="E21" s="4">
        <f t="shared" ref="E21:O21" si="9">SUM($D$11:E11)</f>
        <v>1820.37</v>
      </c>
      <c r="F21" s="4">
        <f t="shared" si="9"/>
        <v>2530.56</v>
      </c>
      <c r="G21" s="4">
        <f t="shared" si="9"/>
        <v>3278.01</v>
      </c>
      <c r="H21" s="4">
        <f t="shared" si="9"/>
        <v>3733.19</v>
      </c>
      <c r="I21" s="4">
        <f t="shared" si="9"/>
        <v>4029.03</v>
      </c>
      <c r="J21" s="4">
        <f t="shared" si="9"/>
        <v>4402.9400000000005</v>
      </c>
      <c r="K21" s="4">
        <f t="shared" si="9"/>
        <v>4773.84</v>
      </c>
      <c r="L21" s="4">
        <f t="shared" si="9"/>
        <v>5210.17</v>
      </c>
      <c r="M21" s="4">
        <f t="shared" si="9"/>
        <v>5845.28</v>
      </c>
      <c r="N21" s="4">
        <f t="shared" si="9"/>
        <v>6599.37</v>
      </c>
      <c r="O21" s="4">
        <f t="shared" si="9"/>
        <v>7509.76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487.28999999999996</v>
      </c>
      <c r="E22" s="4">
        <f t="shared" ref="E22:O22" si="10">SUM($D$12:E12)</f>
        <v>912.82999999999993</v>
      </c>
      <c r="F22" s="4">
        <f t="shared" si="10"/>
        <v>1243.96</v>
      </c>
      <c r="G22" s="4">
        <f t="shared" si="10"/>
        <v>1497.8600000000001</v>
      </c>
      <c r="H22" s="4">
        <f t="shared" si="10"/>
        <v>1609.6799999999998</v>
      </c>
      <c r="I22" s="4">
        <f t="shared" si="10"/>
        <v>1644.96</v>
      </c>
      <c r="J22" s="4">
        <f t="shared" si="10"/>
        <v>1662.9700000000003</v>
      </c>
      <c r="K22" s="4">
        <f t="shared" si="10"/>
        <v>1689.2400000000002</v>
      </c>
      <c r="L22" s="4">
        <f t="shared" si="10"/>
        <v>1766.75</v>
      </c>
      <c r="M22" s="4">
        <f t="shared" si="10"/>
        <v>1971.8400000000001</v>
      </c>
      <c r="N22" s="4">
        <f t="shared" si="10"/>
        <v>2252.96</v>
      </c>
      <c r="O22" s="4">
        <f t="shared" si="10"/>
        <v>2618.37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487.28999999999996</v>
      </c>
      <c r="E23" s="4">
        <f t="shared" ref="E23:O23" si="11">SUM($D$16:E16)</f>
        <v>912.82999999999993</v>
      </c>
      <c r="F23" s="4">
        <f t="shared" si="11"/>
        <v>1243.96</v>
      </c>
      <c r="G23" s="4">
        <f t="shared" si="11"/>
        <v>1497.8600000000001</v>
      </c>
      <c r="H23" s="4">
        <f t="shared" si="11"/>
        <v>1609.6799999999998</v>
      </c>
      <c r="I23" s="4">
        <f t="shared" si="11"/>
        <v>1644.96</v>
      </c>
      <c r="J23" s="4">
        <f t="shared" si="11"/>
        <v>1662.9700000000003</v>
      </c>
      <c r="K23" s="4">
        <f t="shared" si="11"/>
        <v>1689.2400000000002</v>
      </c>
      <c r="L23" s="4">
        <f t="shared" si="11"/>
        <v>1766.75</v>
      </c>
      <c r="M23" s="4">
        <f t="shared" si="11"/>
        <v>1971.8400000000001</v>
      </c>
      <c r="N23" s="4">
        <f t="shared" si="11"/>
        <v>2252.96</v>
      </c>
      <c r="O23" s="4">
        <f t="shared" si="11"/>
        <v>2618.37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P24" si="12">(D11-D12-D15)/D7</f>
        <v>9.8812903225806465</v>
      </c>
      <c r="E24" s="4">
        <f t="shared" si="12"/>
        <v>8.807857142857145</v>
      </c>
      <c r="F24" s="4">
        <f t="shared" si="12"/>
        <v>6.6148387096774179</v>
      </c>
      <c r="G24" s="4">
        <f t="shared" si="12"/>
        <v>9.9316666666666649</v>
      </c>
      <c r="H24" s="4">
        <f t="shared" si="12"/>
        <v>6.5245161290322677</v>
      </c>
      <c r="I24" s="4">
        <f t="shared" si="12"/>
        <v>5.1453333333333262</v>
      </c>
      <c r="J24" s="4">
        <f t="shared" si="12"/>
        <v>7.2548387096774114</v>
      </c>
      <c r="K24" s="4">
        <f t="shared" si="12"/>
        <v>5.8945161290322581</v>
      </c>
      <c r="L24" s="4">
        <f t="shared" si="12"/>
        <v>6.4806666666666759</v>
      </c>
      <c r="M24" s="4">
        <f t="shared" si="12"/>
        <v>8.081290322580637</v>
      </c>
      <c r="N24" s="4">
        <f t="shared" si="12"/>
        <v>9.339000000000004</v>
      </c>
      <c r="O24" s="4">
        <f t="shared" si="12"/>
        <v>11.244516129032263</v>
      </c>
      <c r="P24" s="4">
        <f t="shared" si="12"/>
        <v>7.9284657534246588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D21+'2016'!$P$11-'2016'!D21</f>
        <v>7237.27</v>
      </c>
      <c r="E25" s="10">
        <f>E21+'2016'!$P$11-'2016'!E21</f>
        <v>7374.0399999999991</v>
      </c>
      <c r="F25" s="10">
        <f>F21+'2016'!$P$11-'2016'!F21</f>
        <v>7280.49</v>
      </c>
      <c r="G25" s="10">
        <f>G21+'2016'!$P$11-'2016'!G21</f>
        <v>7407.05</v>
      </c>
      <c r="H25" s="10">
        <f>H21+'2016'!$P$11-'2016'!H21</f>
        <v>7515.5</v>
      </c>
      <c r="I25" s="10">
        <f>I21+'2016'!$P$11-'2016'!I21</f>
        <v>7455.4100000000008</v>
      </c>
      <c r="J25" s="10">
        <f>J21+'2016'!$P$11-'2016'!J21</f>
        <v>7593.2300000000005</v>
      </c>
      <c r="K25" s="10">
        <f>K21+'2016'!$P$11-'2016'!K21</f>
        <v>7592.63</v>
      </c>
      <c r="L25" s="10">
        <f>L21+'2016'!$P$11-'2016'!L21</f>
        <v>7586.95</v>
      </c>
      <c r="M25" s="10">
        <f>M21+'2016'!$P$11-'2016'!M21</f>
        <v>7599.9799999999987</v>
      </c>
      <c r="N25" s="10">
        <f>N21+'2016'!$P$11-'2016'!N21</f>
        <v>7489.7699999999986</v>
      </c>
      <c r="O25" s="10">
        <f>O21+'2016'!$P$11-'2016'!O21</f>
        <v>7509.76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0.50339355998388446</v>
      </c>
      <c r="E27" s="73">
        <f t="shared" si="13"/>
        <v>0.49924914355436667</v>
      </c>
      <c r="F27" s="73">
        <f t="shared" si="13"/>
        <v>0.46625550908911712</v>
      </c>
      <c r="G27" s="73">
        <f t="shared" si="13"/>
        <v>0.33968827346310798</v>
      </c>
      <c r="H27" s="73">
        <f t="shared" si="13"/>
        <v>0.24566105716419814</v>
      </c>
      <c r="I27" s="73">
        <f t="shared" si="13"/>
        <v>0.1192536506219585</v>
      </c>
      <c r="J27" s="73">
        <f t="shared" si="13"/>
        <v>4.8166671124067875E-2</v>
      </c>
      <c r="K27" s="73">
        <f t="shared" si="13"/>
        <v>7.0827716365597149E-2</v>
      </c>
      <c r="L27" s="73">
        <f t="shared" si="13"/>
        <v>0.17764077647651952</v>
      </c>
      <c r="M27" s="73">
        <f t="shared" si="13"/>
        <v>0.3229204389790748</v>
      </c>
      <c r="N27" s="73">
        <f t="shared" si="13"/>
        <v>0.37279369836491649</v>
      </c>
      <c r="O27" s="73">
        <f t="shared" si="13"/>
        <v>0.40137743165017176</v>
      </c>
      <c r="P27" s="73">
        <f t="shared" si="13"/>
        <v>0.34866227416055906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176</v>
      </c>
      <c r="D28" s="4">
        <f t="shared" ref="D28:H28" si="14">D16/D13</f>
        <v>0.76821607418856264</v>
      </c>
      <c r="E28" s="4">
        <f t="shared" si="14"/>
        <v>0.72101461794019939</v>
      </c>
      <c r="F28" s="4">
        <f t="shared" si="14"/>
        <v>0.64456603053435135</v>
      </c>
      <c r="G28" s="4">
        <f t="shared" si="14"/>
        <v>0.56299565217391323</v>
      </c>
      <c r="H28" s="4">
        <f t="shared" si="14"/>
        <v>0.52080547945205347</v>
      </c>
      <c r="I28" s="52"/>
      <c r="J28" s="52"/>
      <c r="K28" s="52"/>
      <c r="L28" s="4">
        <f t="shared" ref="L28:P28" si="15">L16/L13</f>
        <v>0.42053297872340295</v>
      </c>
      <c r="M28" s="4">
        <f t="shared" si="15"/>
        <v>0.53229465648855001</v>
      </c>
      <c r="N28" s="4">
        <f t="shared" si="15"/>
        <v>0.61009021276595721</v>
      </c>
      <c r="O28" s="4">
        <f t="shared" si="15"/>
        <v>0.6902188888888886</v>
      </c>
      <c r="P28" s="4">
        <f t="shared" si="15"/>
        <v>0.64448296332046318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15.719032258064514</v>
      </c>
      <c r="E29" s="4">
        <f t="shared" si="16"/>
        <v>15.197857142857142</v>
      </c>
      <c r="F29" s="4">
        <f t="shared" si="16"/>
        <v>10.68161290322581</v>
      </c>
      <c r="G29" s="4">
        <f t="shared" si="16"/>
        <v>8.4633333333333365</v>
      </c>
      <c r="H29" s="4">
        <f t="shared" si="16"/>
        <v>3.6070967741935389</v>
      </c>
      <c r="I29" s="4">
        <f t="shared" si="16"/>
        <v>1.1760000000000066</v>
      </c>
      <c r="J29" s="4">
        <f t="shared" si="16"/>
        <v>0.58096774193549094</v>
      </c>
      <c r="K29" s="4">
        <f t="shared" si="16"/>
        <v>0.84741935483870912</v>
      </c>
      <c r="L29" s="4">
        <f t="shared" si="16"/>
        <v>2.5836666666666588</v>
      </c>
      <c r="M29" s="4">
        <f t="shared" si="16"/>
        <v>6.615806451612908</v>
      </c>
      <c r="N29" s="4">
        <f t="shared" si="16"/>
        <v>9.3706666666666631</v>
      </c>
      <c r="O29" s="4">
        <f t="shared" si="16"/>
        <v>11.787419354838706</v>
      </c>
      <c r="P29" s="4">
        <f t="shared" si="16"/>
        <v>7.1736164383561638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17.644188542653438</v>
      </c>
      <c r="E30" s="4">
        <f t="shared" si="17"/>
        <v>17.098346654010445</v>
      </c>
      <c r="F30" s="4">
        <f t="shared" si="17"/>
        <v>12.433886653533614</v>
      </c>
      <c r="G30" s="4">
        <f t="shared" si="17"/>
        <v>7.2626439130434806</v>
      </c>
      <c r="H30" s="4">
        <f t="shared" si="17"/>
        <v>2.6208275740167855</v>
      </c>
      <c r="I30" s="4">
        <f t="shared" si="17"/>
        <v>1.1760000000000066</v>
      </c>
      <c r="J30" s="4">
        <f t="shared" si="17"/>
        <v>0.58096774193549094</v>
      </c>
      <c r="K30" s="4">
        <f t="shared" si="17"/>
        <v>0.84741935483870912</v>
      </c>
      <c r="L30" s="4">
        <f t="shared" si="17"/>
        <v>2.6213222340425451</v>
      </c>
      <c r="M30" s="4">
        <f t="shared" si="17"/>
        <v>6.4390482639743949</v>
      </c>
      <c r="N30" s="4">
        <f t="shared" si="17"/>
        <v>10.53422434042553</v>
      </c>
      <c r="O30" s="4">
        <f t="shared" si="17"/>
        <v>14.583657168458776</v>
      </c>
      <c r="P30" s="4">
        <f t="shared" si="17"/>
        <v>7.7704911649846222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177</v>
      </c>
      <c r="D31" s="4">
        <f t="shared" ref="D31:P31" si="18">D16/$F$4</f>
        <v>2.0142609126984126</v>
      </c>
      <c r="E31" s="4">
        <f t="shared" si="18"/>
        <v>1.759011243386243</v>
      </c>
      <c r="F31" s="4">
        <f t="shared" si="18"/>
        <v>1.3687582671957677</v>
      </c>
      <c r="G31" s="4">
        <f t="shared" si="18"/>
        <v>1.049520502645503</v>
      </c>
      <c r="H31" s="4">
        <f t="shared" si="18"/>
        <v>0.46221891534391413</v>
      </c>
      <c r="I31" s="4">
        <f t="shared" si="18"/>
        <v>0.14583333333333415</v>
      </c>
      <c r="J31" s="4">
        <f t="shared" si="18"/>
        <v>7.444609788359878E-2</v>
      </c>
      <c r="K31" s="4">
        <f t="shared" si="18"/>
        <v>0.10858961640211633</v>
      </c>
      <c r="L31" s="4">
        <f t="shared" si="18"/>
        <v>0.32039517195767098</v>
      </c>
      <c r="M31" s="4">
        <f t="shared" si="18"/>
        <v>0.84775958994709044</v>
      </c>
      <c r="N31" s="4">
        <f t="shared" si="18"/>
        <v>1.1620370370370365</v>
      </c>
      <c r="O31" s="4">
        <f t="shared" si="18"/>
        <v>1.5104580026455019</v>
      </c>
      <c r="P31" s="4">
        <f t="shared" si="18"/>
        <v>10.82328869047619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178</v>
      </c>
      <c r="D32" s="4">
        <f t="shared" ref="D32:P32" si="19">D16/$F$3</f>
        <v>5.0759374999999993</v>
      </c>
      <c r="E32" s="4">
        <f t="shared" si="19"/>
        <v>4.4327083333333333</v>
      </c>
      <c r="F32" s="4">
        <f t="shared" si="19"/>
        <v>3.4492708333333346</v>
      </c>
      <c r="G32" s="4">
        <f t="shared" si="19"/>
        <v>2.6447916666666678</v>
      </c>
      <c r="H32" s="4">
        <f t="shared" si="19"/>
        <v>1.1647916666666636</v>
      </c>
      <c r="I32" s="4">
        <f t="shared" si="19"/>
        <v>0.3675000000000021</v>
      </c>
      <c r="J32" s="4">
        <f t="shared" si="19"/>
        <v>0.18760416666666893</v>
      </c>
      <c r="K32" s="4">
        <f t="shared" si="19"/>
        <v>0.27364583333333314</v>
      </c>
      <c r="L32" s="4">
        <f t="shared" si="19"/>
        <v>0.80739583333333087</v>
      </c>
      <c r="M32" s="4">
        <f t="shared" si="19"/>
        <v>2.1363541666666683</v>
      </c>
      <c r="N32" s="4">
        <f t="shared" si="19"/>
        <v>2.9283333333333323</v>
      </c>
      <c r="O32" s="4">
        <f t="shared" si="19"/>
        <v>3.8063541666666652</v>
      </c>
      <c r="P32" s="4">
        <f t="shared" si="19"/>
        <v>27.274687499999999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179</v>
      </c>
      <c r="D33" s="4">
        <f t="shared" ref="D33:P33" si="20">D17/$F$4</f>
        <v>2.2609533929491428</v>
      </c>
      <c r="E33" s="4">
        <f t="shared" si="20"/>
        <v>1.9789753071771345</v>
      </c>
      <c r="F33" s="4">
        <f t="shared" si="20"/>
        <v>1.5932973142342182</v>
      </c>
      <c r="G33" s="4">
        <f t="shared" si="20"/>
        <v>0.90062548524844743</v>
      </c>
      <c r="H33" s="4">
        <f t="shared" si="20"/>
        <v>0.33583686671015356</v>
      </c>
      <c r="I33" s="4">
        <f t="shared" si="20"/>
        <v>0.14583333333333415</v>
      </c>
      <c r="J33" s="4">
        <f t="shared" si="20"/>
        <v>7.444609788359878E-2</v>
      </c>
      <c r="K33" s="4">
        <f t="shared" si="20"/>
        <v>0.10858961640211633</v>
      </c>
      <c r="L33" s="4">
        <f t="shared" si="20"/>
        <v>0.3250647611659902</v>
      </c>
      <c r="M33" s="4">
        <f t="shared" si="20"/>
        <v>0.82510952456682463</v>
      </c>
      <c r="N33" s="4">
        <f t="shared" si="20"/>
        <v>1.3063274231678483</v>
      </c>
      <c r="O33" s="4">
        <f t="shared" si="20"/>
        <v>1.8687722066064072</v>
      </c>
      <c r="P33" s="4">
        <f t="shared" si="20"/>
        <v>11.723831329445217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180</v>
      </c>
      <c r="D34" s="4">
        <f t="shared" ref="D34:P34" si="21">D17/$F$3</f>
        <v>5.6976025502318395</v>
      </c>
      <c r="E34" s="4">
        <f t="shared" si="21"/>
        <v>4.9870177740863797</v>
      </c>
      <c r="F34" s="4">
        <f t="shared" si="21"/>
        <v>4.0151092318702295</v>
      </c>
      <c r="G34" s="4">
        <f t="shared" si="21"/>
        <v>2.2695762228260876</v>
      </c>
      <c r="H34" s="4">
        <f t="shared" si="21"/>
        <v>0.84630890410958692</v>
      </c>
      <c r="I34" s="4">
        <f t="shared" si="21"/>
        <v>0.3675000000000021</v>
      </c>
      <c r="J34" s="4">
        <f t="shared" si="21"/>
        <v>0.18760416666666893</v>
      </c>
      <c r="K34" s="4">
        <f t="shared" si="21"/>
        <v>0.27364583333333314</v>
      </c>
      <c r="L34" s="4">
        <f t="shared" si="21"/>
        <v>0.8191631981382953</v>
      </c>
      <c r="M34" s="4">
        <f t="shared" si="21"/>
        <v>2.0792760019083985</v>
      </c>
      <c r="N34" s="4">
        <f t="shared" si="21"/>
        <v>3.2919451063829777</v>
      </c>
      <c r="O34" s="4">
        <f t="shared" si="21"/>
        <v>4.7093059606481464</v>
      </c>
      <c r="P34" s="4">
        <f t="shared" si="21"/>
        <v>29.54405495020195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181</v>
      </c>
      <c r="D35" s="4">
        <f t="shared" ref="D35:H35" si="22">1000*D31/D13</f>
        <v>3.1754963384117172</v>
      </c>
      <c r="E35" s="4">
        <f t="shared" si="22"/>
        <v>2.9803844987607442</v>
      </c>
      <c r="F35" s="4">
        <f t="shared" si="22"/>
        <v>2.6643767796558837</v>
      </c>
      <c r="G35" s="4">
        <f t="shared" si="22"/>
        <v>2.3271976363008977</v>
      </c>
      <c r="H35" s="4">
        <f t="shared" si="22"/>
        <v>2.1528004276291894</v>
      </c>
      <c r="I35" s="52"/>
      <c r="J35" s="52"/>
      <c r="K35" s="52"/>
      <c r="L35" s="4">
        <f t="shared" ref="L35:P35" si="23">1000*L31/L13</f>
        <v>1.7383142308341724</v>
      </c>
      <c r="M35" s="4">
        <f t="shared" si="23"/>
        <v>2.2002920655115323</v>
      </c>
      <c r="N35" s="4">
        <f t="shared" si="23"/>
        <v>2.5218676122931432</v>
      </c>
      <c r="O35" s="4">
        <f t="shared" si="23"/>
        <v>2.8530873383303925</v>
      </c>
      <c r="P35" s="4">
        <f t="shared" si="23"/>
        <v>2.6640334131963588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1900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v>11600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2900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7600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0.34482758620689657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2"/>
      <c r="D46" s="4">
        <v>4.5199999999999996</v>
      </c>
      <c r="E46" s="4">
        <v>4.6900000000000004</v>
      </c>
      <c r="F46" s="4">
        <v>4.1100000000000003</v>
      </c>
      <c r="G46" s="4">
        <v>4.08</v>
      </c>
      <c r="H46" s="4">
        <v>4.0599999999999996</v>
      </c>
      <c r="I46" s="4">
        <v>3.93</v>
      </c>
      <c r="J46" s="4">
        <v>4.43</v>
      </c>
      <c r="K46" s="4">
        <v>4.68</v>
      </c>
      <c r="L46" s="4">
        <v>4.75</v>
      </c>
      <c r="M46" s="4">
        <v>4.3099999999999996</v>
      </c>
      <c r="N46" s="4">
        <v>4.5199999999999996</v>
      </c>
      <c r="O46" s="4">
        <v>4.22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(SUMPRODUCT($D$46:D46,$D$11:D11)+SUMPRODUCT('2016'!E$46:$O46,'2016'!E$11:$O11))/(D21+SUM('2016'!E$11:$O11))</f>
        <v>4.2512239145423623</v>
      </c>
      <c r="E48" s="18">
        <f>(SUMPRODUCT($D$46:E46,$D$11:E11)+SUMPRODUCT('2016'!F$46:$O46,'2016'!F$11:$O11))/(E21+SUM('2016'!F$11:$O11))</f>
        <v>4.3748418370391269</v>
      </c>
      <c r="F48" s="18">
        <f>(SUMPRODUCT($D$46:F46,$D$11:F11)+SUMPRODUCT('2016'!G$46:$O46,'2016'!G$11:$O11))/(F21+SUM('2016'!G$11:$O11))</f>
        <v>4.4488986043521797</v>
      </c>
      <c r="G48" s="18">
        <f>(SUMPRODUCT($D$46:G46,$D$11:G11)+SUMPRODUCT('2016'!H$46:$O46,'2016'!H$11:$O11))/(G21+SUM('2016'!H$11:$O11))</f>
        <v>4.4970811726665811</v>
      </c>
      <c r="H48" s="18">
        <f>(SUMPRODUCT($D$46:H46,$D$11:H11)+SUMPRODUCT('2016'!I$46:$O46,'2016'!I$11:$O11))/(H21+SUM('2016'!I$11:$O11))</f>
        <v>4.5147643802807531</v>
      </c>
      <c r="I48" s="18">
        <f>(SUMPRODUCT($D$46:I46,$D$11:I11)+SUMPRODUCT('2016'!J$46:$O46,'2016'!J$11:$O11))/(I21+SUM('2016'!J$11:$O11))</f>
        <v>4.4999036538567294</v>
      </c>
      <c r="J48" s="18">
        <f>(SUMPRODUCT($D$46:J46,$D$11:J11)+SUMPRODUCT('2016'!K$46:$O46,'2016'!K$11:$O11))/(J21+SUM('2016'!K$11:$O11))</f>
        <v>4.5079625271458905</v>
      </c>
      <c r="K48" s="18">
        <f>(SUMPRODUCT($D$46:K46,$D$11:K11)+SUMPRODUCT('2016'!L$46:$O46,'2016'!L$11:$O11))/(K21+SUM('2016'!L$11:$O11))</f>
        <v>4.5324134456703407</v>
      </c>
      <c r="L48" s="18">
        <f>(SUMPRODUCT($D$46:L46,$D$11:L11)+SUMPRODUCT('2016'!M$46:$O46,'2016'!M$11:$O11))/(L21+SUM('2016'!M$11:$O11))</f>
        <v>4.5683712822675782</v>
      </c>
      <c r="M48" s="18">
        <f>(SUMPRODUCT($D$46:M46,$D$11:M11)+SUMPRODUCT('2016'!N$46:$O46,'2016'!N$11:$O11))/(M21+SUM('2016'!N$11:$O11))</f>
        <v>4.5245463014376357</v>
      </c>
      <c r="N48" s="18">
        <f>(SUMPRODUCT($D$46:N46,$D$11:N11)+SUMPRODUCT('2016'!O$46:$O46,'2016'!O$11:$O11))/(N21+SUM('2016'!O$11:$O11))</f>
        <v>4.4138316930960499</v>
      </c>
      <c r="O48" s="18">
        <f>(SUMPRODUCT($D$46:O46,$D$11:O11))/(O21)</f>
        <v>4.3682607699846594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C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2" width="8.44140625" customWidth="1"/>
    <col min="23" max="23" width="10.44140625" customWidth="1"/>
    <col min="24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2016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182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10.47304347826087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183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2016</v>
      </c>
      <c r="B8" s="25" t="s">
        <v>27</v>
      </c>
      <c r="C8" s="26" t="s">
        <v>184</v>
      </c>
      <c r="D8" s="27">
        <v>-11.12</v>
      </c>
      <c r="E8" s="27">
        <v>-1.0900000000000001</v>
      </c>
      <c r="F8" s="27">
        <v>-0.39</v>
      </c>
      <c r="G8" s="27">
        <v>4.2300000000000004</v>
      </c>
      <c r="H8" s="27">
        <v>13</v>
      </c>
      <c r="I8" s="27">
        <v>14.86</v>
      </c>
      <c r="J8" s="27">
        <v>16.7</v>
      </c>
      <c r="K8" s="27">
        <v>14.9</v>
      </c>
      <c r="L8" s="27">
        <v>11.4</v>
      </c>
      <c r="M8" s="27">
        <v>3.74</v>
      </c>
      <c r="N8" s="27">
        <v>-1.7</v>
      </c>
      <c r="O8" s="28">
        <v>-1.77</v>
      </c>
      <c r="P8" s="27">
        <f>AVERAGE(D8:O8)</f>
        <v>5.2299999999999986</v>
      </c>
      <c r="Q8" s="2"/>
      <c r="R8" s="29">
        <f>AVERAGE(D8:H8,L8:O8)</f>
        <v>1.8111111111111116</v>
      </c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2016</v>
      </c>
      <c r="B9" s="25" t="s">
        <v>29</v>
      </c>
      <c r="C9" s="30" t="s">
        <v>30</v>
      </c>
      <c r="D9" s="31">
        <v>765.97</v>
      </c>
      <c r="E9" s="31">
        <v>409.62</v>
      </c>
      <c r="F9" s="31">
        <v>407.28</v>
      </c>
      <c r="G9" s="31">
        <v>309.79000000000002</v>
      </c>
      <c r="H9" s="31">
        <v>165.38</v>
      </c>
      <c r="I9" s="31">
        <v>198.69</v>
      </c>
      <c r="J9" s="31">
        <v>128.18</v>
      </c>
      <c r="K9" s="31">
        <v>202.11</v>
      </c>
      <c r="L9" s="31">
        <v>217.94</v>
      </c>
      <c r="M9" s="31">
        <v>330.23</v>
      </c>
      <c r="N9" s="31">
        <v>488.01</v>
      </c>
      <c r="O9" s="76">
        <v>503</v>
      </c>
      <c r="P9" s="31">
        <f t="shared" ref="P9:P17" si="0">SUM(D9:O9)</f>
        <v>4126.2</v>
      </c>
      <c r="Q9" s="2"/>
      <c r="R9" s="34">
        <f t="shared" ref="R9:R12" si="1">P9/$P$11</f>
        <v>0.54127514885656902</v>
      </c>
      <c r="S9" s="34"/>
      <c r="T9" s="29"/>
      <c r="U9" s="29"/>
      <c r="V9" s="2"/>
      <c r="W9" s="36"/>
      <c r="X9" s="11"/>
      <c r="Y9" s="2"/>
      <c r="Z9" s="2"/>
    </row>
    <row r="10" spans="1:26" ht="12.75" customHeight="1" x14ac:dyDescent="0.25">
      <c r="A10" s="24">
        <v>2016</v>
      </c>
      <c r="B10" s="25" t="s">
        <v>31</v>
      </c>
      <c r="C10" s="30" t="s">
        <v>30</v>
      </c>
      <c r="D10" s="31">
        <v>587.88</v>
      </c>
      <c r="E10" s="31">
        <v>305.97000000000003</v>
      </c>
      <c r="F10" s="31">
        <v>396.46</v>
      </c>
      <c r="G10" s="31">
        <v>311.10000000000002</v>
      </c>
      <c r="H10" s="31">
        <v>181.35</v>
      </c>
      <c r="I10" s="31">
        <v>157.24</v>
      </c>
      <c r="J10" s="31">
        <v>107.91</v>
      </c>
      <c r="K10" s="31">
        <v>169.39</v>
      </c>
      <c r="L10" s="31">
        <v>224.07</v>
      </c>
      <c r="M10" s="31">
        <v>291.85000000000002</v>
      </c>
      <c r="N10" s="31">
        <v>376.29</v>
      </c>
      <c r="O10" s="43">
        <v>387.4</v>
      </c>
      <c r="P10" s="31">
        <f t="shared" si="0"/>
        <v>3496.91</v>
      </c>
      <c r="Q10" s="39"/>
      <c r="R10" s="34">
        <f t="shared" si="1"/>
        <v>0.45872485114343092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2016</v>
      </c>
      <c r="B11" s="25" t="s">
        <v>32</v>
      </c>
      <c r="C11" s="30" t="s">
        <v>30</v>
      </c>
      <c r="D11" s="31">
        <f t="shared" ref="D11:O11" si="2">SUM(D9:D10)</f>
        <v>1353.85</v>
      </c>
      <c r="E11" s="31">
        <f t="shared" si="2"/>
        <v>715.59</v>
      </c>
      <c r="F11" s="31">
        <f t="shared" si="2"/>
        <v>803.74</v>
      </c>
      <c r="G11" s="31">
        <f t="shared" si="2"/>
        <v>620.8900000000001</v>
      </c>
      <c r="H11" s="31">
        <f t="shared" si="2"/>
        <v>346.73</v>
      </c>
      <c r="I11" s="31">
        <f t="shared" si="2"/>
        <v>355.93</v>
      </c>
      <c r="J11" s="31">
        <f t="shared" si="2"/>
        <v>236.09</v>
      </c>
      <c r="K11" s="31">
        <f t="shared" si="2"/>
        <v>371.5</v>
      </c>
      <c r="L11" s="31">
        <f t="shared" si="2"/>
        <v>442.01</v>
      </c>
      <c r="M11" s="31">
        <f t="shared" si="2"/>
        <v>622.08000000000004</v>
      </c>
      <c r="N11" s="31">
        <f t="shared" si="2"/>
        <v>864.3</v>
      </c>
      <c r="O11" s="42">
        <f t="shared" si="2"/>
        <v>890.4</v>
      </c>
      <c r="P11" s="40">
        <f t="shared" si="0"/>
        <v>7623.1100000000006</v>
      </c>
      <c r="Q11" s="39"/>
      <c r="R11" s="34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2016</v>
      </c>
      <c r="B12" s="25" t="s">
        <v>33</v>
      </c>
      <c r="C12" s="30" t="s">
        <v>30</v>
      </c>
      <c r="D12" s="31">
        <f>(1575.85-797.7)</f>
        <v>778.14999999999986</v>
      </c>
      <c r="E12" s="31">
        <v>344</v>
      </c>
      <c r="F12" s="31">
        <f>2243-1920</f>
        <v>323</v>
      </c>
      <c r="G12" s="31">
        <v>186</v>
      </c>
      <c r="H12" s="31">
        <f>(2458-2429)</f>
        <v>29</v>
      </c>
      <c r="I12" s="31">
        <v>20.399999999999999</v>
      </c>
      <c r="J12" s="31">
        <f>(2+4.841)</f>
        <v>6.8410000000000002</v>
      </c>
      <c r="K12" s="31">
        <f>(33.247-4.841)</f>
        <v>28.405999999999999</v>
      </c>
      <c r="L12" s="31">
        <f>(96.625-33.247)</f>
        <v>63.378</v>
      </c>
      <c r="M12" s="31">
        <f>(306.565-96.625)</f>
        <v>209.94</v>
      </c>
      <c r="N12" s="31">
        <f>(697.608-306.565)</f>
        <v>391.04299999999995</v>
      </c>
      <c r="O12" s="31">
        <f>(1086.54-697.608)</f>
        <v>388.93200000000002</v>
      </c>
      <c r="P12" s="31">
        <f t="shared" si="0"/>
        <v>2769.09</v>
      </c>
      <c r="Q12" s="39"/>
      <c r="R12" s="34">
        <f t="shared" si="1"/>
        <v>0.36324938246988431</v>
      </c>
      <c r="S12" s="34"/>
      <c r="T12" s="29"/>
      <c r="U12" s="29"/>
      <c r="V12" s="2"/>
      <c r="W12" s="36"/>
      <c r="X12" s="11">
        <f>P12+'2015'!X12</f>
        <v>14857.470714285715</v>
      </c>
      <c r="Y12" s="2"/>
      <c r="Z12" s="11"/>
    </row>
    <row r="13" spans="1:26" ht="12.75" customHeight="1" x14ac:dyDescent="0.25">
      <c r="A13" s="24">
        <v>2016</v>
      </c>
      <c r="B13" s="41" t="s">
        <v>36</v>
      </c>
      <c r="C13" s="26" t="s">
        <v>185</v>
      </c>
      <c r="D13" s="31">
        <v>905</v>
      </c>
      <c r="E13" s="31">
        <v>526</v>
      </c>
      <c r="F13" s="31">
        <v>535</v>
      </c>
      <c r="G13" s="31">
        <v>370</v>
      </c>
      <c r="H13" s="42">
        <v>46</v>
      </c>
      <c r="I13" s="31">
        <v>37</v>
      </c>
      <c r="J13" s="31">
        <v>5</v>
      </c>
      <c r="K13" s="31">
        <v>12</v>
      </c>
      <c r="L13" s="31">
        <f>143/1.02</f>
        <v>140.19607843137254</v>
      </c>
      <c r="M13" s="31">
        <f>412/1.02</f>
        <v>403.92156862745099</v>
      </c>
      <c r="N13" s="31">
        <f>553/1.02</f>
        <v>542.15686274509801</v>
      </c>
      <c r="O13" s="42">
        <f>586/1.02</f>
        <v>574.50980392156862</v>
      </c>
      <c r="P13" s="31">
        <f t="shared" si="0"/>
        <v>4096.7843137254895</v>
      </c>
      <c r="Q13" s="36"/>
      <c r="R13" s="34">
        <f>(P14-P13)/P14</f>
        <v>4.8587014926732584E-2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2016</v>
      </c>
      <c r="B14" s="41" t="s">
        <v>39</v>
      </c>
      <c r="C14" s="26" t="s">
        <v>186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36"/>
      <c r="X14" s="2"/>
      <c r="Y14" s="2"/>
      <c r="Z14" s="2"/>
    </row>
    <row r="15" spans="1:26" ht="12.75" customHeight="1" x14ac:dyDescent="0.25">
      <c r="A15" s="24">
        <v>2016</v>
      </c>
      <c r="B15" s="25" t="s">
        <v>41</v>
      </c>
      <c r="C15" s="30" t="s">
        <v>30</v>
      </c>
      <c r="D15" s="31">
        <v>209</v>
      </c>
      <c r="E15" s="31">
        <v>140</v>
      </c>
      <c r="F15" s="31">
        <v>213</v>
      </c>
      <c r="G15" s="31">
        <v>184.5</v>
      </c>
      <c r="H15" s="31">
        <v>138.5</v>
      </c>
      <c r="I15" s="31">
        <v>164.1</v>
      </c>
      <c r="J15" s="31">
        <v>88.2</v>
      </c>
      <c r="K15" s="31">
        <v>154.5</v>
      </c>
      <c r="L15" s="31">
        <v>176.1</v>
      </c>
      <c r="M15" s="31">
        <v>189.94697500000001</v>
      </c>
      <c r="N15" s="31">
        <v>208.64</v>
      </c>
      <c r="O15" s="42">
        <v>197.65185</v>
      </c>
      <c r="P15" s="31">
        <f t="shared" si="0"/>
        <v>2064.138825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2016</v>
      </c>
      <c r="B16" s="25" t="s">
        <v>42</v>
      </c>
      <c r="C16" s="30" t="s">
        <v>30</v>
      </c>
      <c r="D16" s="31">
        <f>D12+10</f>
        <v>788.14999999999986</v>
      </c>
      <c r="E16" s="31">
        <f t="shared" ref="E16:O16" si="3">E12</f>
        <v>344</v>
      </c>
      <c r="F16" s="31">
        <f t="shared" si="3"/>
        <v>323</v>
      </c>
      <c r="G16" s="31">
        <f t="shared" si="3"/>
        <v>186</v>
      </c>
      <c r="H16" s="31">
        <f t="shared" si="3"/>
        <v>29</v>
      </c>
      <c r="I16" s="31">
        <f t="shared" si="3"/>
        <v>20.399999999999999</v>
      </c>
      <c r="J16" s="31">
        <f t="shared" si="3"/>
        <v>6.8410000000000002</v>
      </c>
      <c r="K16" s="31">
        <f t="shared" si="3"/>
        <v>28.405999999999999</v>
      </c>
      <c r="L16" s="31">
        <f t="shared" si="3"/>
        <v>63.378</v>
      </c>
      <c r="M16" s="31">
        <f t="shared" si="3"/>
        <v>209.94</v>
      </c>
      <c r="N16" s="31">
        <f t="shared" si="3"/>
        <v>391.04299999999995</v>
      </c>
      <c r="O16" s="31">
        <f t="shared" si="3"/>
        <v>388.93200000000002</v>
      </c>
      <c r="P16" s="31">
        <f t="shared" si="0"/>
        <v>2779.09</v>
      </c>
      <c r="Q16" s="2"/>
      <c r="R16" s="11">
        <f>P11-P15-P16</f>
        <v>2779.8811750000004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2016</v>
      </c>
      <c r="B17" s="25" t="s">
        <v>43</v>
      </c>
      <c r="C17" s="30" t="s">
        <v>30</v>
      </c>
      <c r="D17" s="31">
        <f t="shared" ref="D17:H17" si="4">IF(D16&lt;0,0,((D14/D13))*D16)</f>
        <v>620.0693922651933</v>
      </c>
      <c r="E17" s="31">
        <f t="shared" si="4"/>
        <v>434.25095057034218</v>
      </c>
      <c r="F17" s="31">
        <f t="shared" si="4"/>
        <v>361.03551401869163</v>
      </c>
      <c r="G17" s="31">
        <f t="shared" si="4"/>
        <v>194.54594594594593</v>
      </c>
      <c r="H17" s="31">
        <f t="shared" si="4"/>
        <v>98.347826086956516</v>
      </c>
      <c r="I17" s="46">
        <f t="shared" ref="I17:K17" si="5">I16</f>
        <v>20.399999999999999</v>
      </c>
      <c r="J17" s="46">
        <f t="shared" si="5"/>
        <v>6.8410000000000002</v>
      </c>
      <c r="K17" s="46">
        <f t="shared" si="5"/>
        <v>28.405999999999999</v>
      </c>
      <c r="L17" s="31">
        <f t="shared" ref="L17:O17" si="6">IF(L16&lt;0,0,((L14/L13))*L16)</f>
        <v>84.536501538461536</v>
      </c>
      <c r="M17" s="31">
        <f t="shared" si="6"/>
        <v>194.90788834951456</v>
      </c>
      <c r="N17" s="31">
        <f t="shared" si="6"/>
        <v>373.61931189873411</v>
      </c>
      <c r="O17" s="42">
        <f t="shared" si="6"/>
        <v>443.42230238907848</v>
      </c>
      <c r="P17" s="40">
        <f t="shared" si="0"/>
        <v>2860.3826330629181</v>
      </c>
      <c r="Q17" s="47"/>
      <c r="R17" s="2"/>
      <c r="S17" s="2"/>
      <c r="T17" s="29"/>
      <c r="U17" s="29"/>
      <c r="V17" s="11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43.67258064516129</v>
      </c>
      <c r="E20" s="4">
        <f t="shared" si="7"/>
        <v>24.67551724137931</v>
      </c>
      <c r="F20" s="4">
        <f t="shared" si="7"/>
        <v>25.927096774193547</v>
      </c>
      <c r="G20" s="4">
        <f t="shared" si="7"/>
        <v>20.696333333333335</v>
      </c>
      <c r="H20" s="4">
        <f t="shared" si="7"/>
        <v>11.18483870967742</v>
      </c>
      <c r="I20" s="4">
        <f t="shared" si="7"/>
        <v>11.864333333333333</v>
      </c>
      <c r="J20" s="4">
        <f t="shared" si="7"/>
        <v>7.6158064516129036</v>
      </c>
      <c r="K20" s="4">
        <f t="shared" si="7"/>
        <v>11.983870967741936</v>
      </c>
      <c r="L20" s="4">
        <f t="shared" si="7"/>
        <v>14.733666666666666</v>
      </c>
      <c r="M20" s="4">
        <f t="shared" si="7"/>
        <v>20.067096774193551</v>
      </c>
      <c r="N20" s="4">
        <f t="shared" si="7"/>
        <v>28.81</v>
      </c>
      <c r="O20" s="4">
        <f t="shared" si="7"/>
        <v>28.72258064516129</v>
      </c>
      <c r="P20" s="4">
        <f>P11/365</f>
        <v>20.88523287671233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1353.85</v>
      </c>
      <c r="E21" s="4">
        <f t="shared" ref="E21:O21" si="9">SUM($D$11:E11)</f>
        <v>2069.44</v>
      </c>
      <c r="F21" s="4">
        <f t="shared" si="9"/>
        <v>2873.1800000000003</v>
      </c>
      <c r="G21" s="4">
        <f t="shared" si="9"/>
        <v>3494.0700000000006</v>
      </c>
      <c r="H21" s="4">
        <f t="shared" si="9"/>
        <v>3840.8000000000006</v>
      </c>
      <c r="I21" s="4">
        <f t="shared" si="9"/>
        <v>4196.7300000000005</v>
      </c>
      <c r="J21" s="4">
        <f t="shared" si="9"/>
        <v>4432.8200000000006</v>
      </c>
      <c r="K21" s="4">
        <f t="shared" si="9"/>
        <v>4804.3200000000006</v>
      </c>
      <c r="L21" s="4">
        <f t="shared" si="9"/>
        <v>5246.3300000000008</v>
      </c>
      <c r="M21" s="4">
        <f t="shared" si="9"/>
        <v>5868.4100000000008</v>
      </c>
      <c r="N21" s="4">
        <f t="shared" si="9"/>
        <v>6732.7100000000009</v>
      </c>
      <c r="O21" s="4">
        <f t="shared" si="9"/>
        <v>7623.1100000000006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778.14999999999986</v>
      </c>
      <c r="E22" s="4">
        <f t="shared" ref="E22:O22" si="10">SUM($D$12:E12)</f>
        <v>1122.1499999999999</v>
      </c>
      <c r="F22" s="4">
        <f t="shared" si="10"/>
        <v>1445.1499999999999</v>
      </c>
      <c r="G22" s="4">
        <f t="shared" si="10"/>
        <v>1631.1499999999999</v>
      </c>
      <c r="H22" s="4">
        <f t="shared" si="10"/>
        <v>1660.1499999999999</v>
      </c>
      <c r="I22" s="4">
        <f t="shared" si="10"/>
        <v>1680.55</v>
      </c>
      <c r="J22" s="4">
        <f t="shared" si="10"/>
        <v>1687.3909999999998</v>
      </c>
      <c r="K22" s="4">
        <f t="shared" si="10"/>
        <v>1715.7969999999998</v>
      </c>
      <c r="L22" s="4">
        <f t="shared" si="10"/>
        <v>1779.1749999999997</v>
      </c>
      <c r="M22" s="4">
        <f t="shared" si="10"/>
        <v>1989.1149999999998</v>
      </c>
      <c r="N22" s="4">
        <f t="shared" si="10"/>
        <v>2380.1579999999999</v>
      </c>
      <c r="O22" s="4">
        <f t="shared" si="10"/>
        <v>2769.09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788.14999999999986</v>
      </c>
      <c r="E23" s="4">
        <f t="shared" ref="E23:O23" si="11">SUM($D$16:E16)</f>
        <v>1132.1499999999999</v>
      </c>
      <c r="F23" s="4">
        <f t="shared" si="11"/>
        <v>1455.1499999999999</v>
      </c>
      <c r="G23" s="4">
        <f t="shared" si="11"/>
        <v>1641.1499999999999</v>
      </c>
      <c r="H23" s="4">
        <f t="shared" si="11"/>
        <v>1670.1499999999999</v>
      </c>
      <c r="I23" s="4">
        <f t="shared" si="11"/>
        <v>1690.55</v>
      </c>
      <c r="J23" s="4">
        <f t="shared" si="11"/>
        <v>1697.3909999999998</v>
      </c>
      <c r="K23" s="4">
        <f t="shared" si="11"/>
        <v>1725.7969999999998</v>
      </c>
      <c r="L23" s="4">
        <f t="shared" si="11"/>
        <v>1789.1749999999997</v>
      </c>
      <c r="M23" s="4">
        <f t="shared" si="11"/>
        <v>1999.1149999999998</v>
      </c>
      <c r="N23" s="4">
        <f t="shared" si="11"/>
        <v>2390.1579999999999</v>
      </c>
      <c r="O23" s="4">
        <f t="shared" si="11"/>
        <v>2779.09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48</v>
      </c>
      <c r="C24" s="8" t="s">
        <v>30</v>
      </c>
      <c r="D24" s="4">
        <f t="shared" ref="D24:P24" si="12">(D11-D16-D15)/D7</f>
        <v>11.506451612903227</v>
      </c>
      <c r="E24" s="4">
        <f t="shared" si="12"/>
        <v>7.9858620689655186</v>
      </c>
      <c r="F24" s="4">
        <f t="shared" si="12"/>
        <v>8.636774193548387</v>
      </c>
      <c r="G24" s="4">
        <f t="shared" si="12"/>
        <v>8.3463333333333374</v>
      </c>
      <c r="H24" s="4">
        <f t="shared" si="12"/>
        <v>5.781612903225807</v>
      </c>
      <c r="I24" s="4">
        <f t="shared" si="12"/>
        <v>5.7143333333333342</v>
      </c>
      <c r="J24" s="4">
        <f t="shared" si="12"/>
        <v>4.5499677419354834</v>
      </c>
      <c r="K24" s="4">
        <f t="shared" si="12"/>
        <v>6.0836774193548386</v>
      </c>
      <c r="L24" s="4">
        <f t="shared" si="12"/>
        <v>6.7510666666666674</v>
      </c>
      <c r="M24" s="4">
        <f t="shared" si="12"/>
        <v>7.1675169354838717</v>
      </c>
      <c r="N24" s="4">
        <f t="shared" si="12"/>
        <v>8.820566666666668</v>
      </c>
      <c r="O24" s="4">
        <f t="shared" si="12"/>
        <v>9.8005209677419352</v>
      </c>
      <c r="P24" s="4">
        <f t="shared" si="12"/>
        <v>7.5953037568306021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D21+'2015'!$P$11-'2015'!D21</f>
        <v>7388.8000000000011</v>
      </c>
      <c r="E25" s="10">
        <f>E21+'2015'!$P$11-'2015'!E21</f>
        <v>7448.880000000001</v>
      </c>
      <c r="F25" s="10">
        <f>F21+'2015'!$P$11-'2015'!F21</f>
        <v>7436.4700000000012</v>
      </c>
      <c r="G25" s="10">
        <f>G21+'2015'!$P$11-'2015'!G21</f>
        <v>7414.8600000000024</v>
      </c>
      <c r="H25" s="10">
        <f>H21+'2015'!$P$11-'2015'!H21</f>
        <v>7295.7300000000014</v>
      </c>
      <c r="I25" s="10">
        <f>I21+'2015'!$P$11-'2015'!I21</f>
        <v>7248.3200000000015</v>
      </c>
      <c r="J25" s="10">
        <f>J21+'2015'!$P$11-'2015'!J21</f>
        <v>7270.0300000000016</v>
      </c>
      <c r="K25" s="10">
        <f>K21+'2015'!$P$11-'2015'!K21</f>
        <v>7344.2500000000018</v>
      </c>
      <c r="L25" s="10">
        <f>L21+'2015'!$P$11-'2015'!L21</f>
        <v>7347.1</v>
      </c>
      <c r="M25" s="10">
        <f>M21+'2015'!$P$11-'2015'!M21</f>
        <v>7318.7400000000016</v>
      </c>
      <c r="N25" s="10">
        <f>N21+'2015'!$P$11-'2015'!N21</f>
        <v>7494.9800000000014</v>
      </c>
      <c r="O25" s="10">
        <f>O21+'2015'!$P$11-'2015'!O21</f>
        <v>7623.1100000000006</v>
      </c>
      <c r="P25" s="4"/>
      <c r="Q25" s="2"/>
      <c r="R25" s="36"/>
      <c r="S25" s="2"/>
      <c r="T25" s="2"/>
      <c r="U25" s="2"/>
      <c r="V25" s="2"/>
      <c r="W25" s="50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0.58215459615171539</v>
      </c>
      <c r="E27" s="73">
        <f t="shared" si="13"/>
        <v>0.48072220126049831</v>
      </c>
      <c r="F27" s="73">
        <f t="shared" si="13"/>
        <v>0.40187125189737977</v>
      </c>
      <c r="G27" s="73">
        <f t="shared" si="13"/>
        <v>0.29956997213677133</v>
      </c>
      <c r="H27" s="73">
        <f t="shared" si="13"/>
        <v>8.3638566031205827E-2</v>
      </c>
      <c r="I27" s="73">
        <f t="shared" si="13"/>
        <v>5.7314640519203208E-2</v>
      </c>
      <c r="J27" s="73">
        <f t="shared" si="13"/>
        <v>2.8976237875386505E-2</v>
      </c>
      <c r="K27" s="73">
        <f t="shared" si="13"/>
        <v>7.6462987886944819E-2</v>
      </c>
      <c r="L27" s="73">
        <f t="shared" si="13"/>
        <v>0.14338589624669126</v>
      </c>
      <c r="M27" s="73">
        <f t="shared" si="13"/>
        <v>0.33748070987654316</v>
      </c>
      <c r="N27" s="73">
        <f t="shared" si="13"/>
        <v>0.45243896795094291</v>
      </c>
      <c r="O27" s="73">
        <f t="shared" si="13"/>
        <v>0.43680592991913747</v>
      </c>
      <c r="P27" s="73">
        <f t="shared" si="13"/>
        <v>0.36456118303422091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187</v>
      </c>
      <c r="D28" s="4">
        <f t="shared" ref="D28:H28" si="14">D16/D13</f>
        <v>0.87088397790055239</v>
      </c>
      <c r="E28" s="4">
        <f t="shared" si="14"/>
        <v>0.6539923954372624</v>
      </c>
      <c r="F28" s="4">
        <f t="shared" si="14"/>
        <v>0.60373831775700937</v>
      </c>
      <c r="G28" s="4">
        <f t="shared" si="14"/>
        <v>0.50270270270270268</v>
      </c>
      <c r="H28" s="4">
        <f t="shared" si="14"/>
        <v>0.63043478260869568</v>
      </c>
      <c r="I28" s="52"/>
      <c r="J28" s="52"/>
      <c r="K28" s="52"/>
      <c r="L28" s="4">
        <f t="shared" ref="L28:P28" si="15">L16/L13</f>
        <v>0.45206685314685319</v>
      </c>
      <c r="M28" s="4">
        <f t="shared" si="15"/>
        <v>0.51975436893203886</v>
      </c>
      <c r="N28" s="4">
        <f t="shared" si="15"/>
        <v>0.7212728028933092</v>
      </c>
      <c r="O28" s="4">
        <f t="shared" si="15"/>
        <v>0.67698061433447099</v>
      </c>
      <c r="P28" s="4">
        <f t="shared" si="15"/>
        <v>0.67835887544511253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25.424193548387091</v>
      </c>
      <c r="E29" s="4">
        <f t="shared" si="16"/>
        <v>11.862068965517242</v>
      </c>
      <c r="F29" s="4">
        <f t="shared" si="16"/>
        <v>10.419354838709678</v>
      </c>
      <c r="G29" s="4">
        <f t="shared" si="16"/>
        <v>6.2</v>
      </c>
      <c r="H29" s="4">
        <f t="shared" si="16"/>
        <v>0.93548387096774188</v>
      </c>
      <c r="I29" s="4">
        <f t="shared" si="16"/>
        <v>0.67999999999999994</v>
      </c>
      <c r="J29" s="4">
        <f t="shared" si="16"/>
        <v>0.22067741935483873</v>
      </c>
      <c r="K29" s="4">
        <f t="shared" si="16"/>
        <v>0.91632258064516126</v>
      </c>
      <c r="L29" s="4">
        <f t="shared" si="16"/>
        <v>2.1126</v>
      </c>
      <c r="M29" s="4">
        <f t="shared" si="16"/>
        <v>6.7722580645161292</v>
      </c>
      <c r="N29" s="4">
        <f t="shared" si="16"/>
        <v>13.034766666666664</v>
      </c>
      <c r="O29" s="4">
        <f t="shared" si="16"/>
        <v>12.546193548387098</v>
      </c>
      <c r="P29" s="4">
        <f t="shared" si="16"/>
        <v>7.5931420765027324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20.002238460167526</v>
      </c>
      <c r="E30" s="4">
        <f t="shared" si="17"/>
        <v>14.974170709322145</v>
      </c>
      <c r="F30" s="4">
        <f t="shared" si="17"/>
        <v>11.646306903828762</v>
      </c>
      <c r="G30" s="4">
        <f t="shared" si="17"/>
        <v>6.4848648648648641</v>
      </c>
      <c r="H30" s="4">
        <f t="shared" si="17"/>
        <v>3.172510518934081</v>
      </c>
      <c r="I30" s="4">
        <f t="shared" si="17"/>
        <v>0.67999999999999994</v>
      </c>
      <c r="J30" s="4">
        <f t="shared" si="17"/>
        <v>0.22067741935483873</v>
      </c>
      <c r="K30" s="4">
        <f t="shared" si="17"/>
        <v>0.91632258064516126</v>
      </c>
      <c r="L30" s="4">
        <f t="shared" si="17"/>
        <v>2.8178833846153846</v>
      </c>
      <c r="M30" s="4">
        <f t="shared" si="17"/>
        <v>6.2873512370811149</v>
      </c>
      <c r="N30" s="4">
        <f t="shared" si="17"/>
        <v>12.453977063291138</v>
      </c>
      <c r="O30" s="4">
        <f t="shared" si="17"/>
        <v>14.30394523835737</v>
      </c>
      <c r="P30" s="4">
        <f t="shared" si="17"/>
        <v>7.8152530958003226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188</v>
      </c>
      <c r="D31" s="4">
        <f t="shared" ref="D31:P31" si="18">D16/$F$4</f>
        <v>3.2578951719576712</v>
      </c>
      <c r="E31" s="4">
        <f t="shared" si="18"/>
        <v>1.4219576719576719</v>
      </c>
      <c r="F31" s="4">
        <f t="shared" si="18"/>
        <v>1.3351521164021163</v>
      </c>
      <c r="G31" s="4">
        <f t="shared" si="18"/>
        <v>0.76884920634920628</v>
      </c>
      <c r="H31" s="4">
        <f t="shared" si="18"/>
        <v>0.11987433862433862</v>
      </c>
      <c r="I31" s="4">
        <f t="shared" si="18"/>
        <v>8.4325396825396817E-2</v>
      </c>
      <c r="J31" s="4">
        <f t="shared" si="18"/>
        <v>2.8277943121693121E-2</v>
      </c>
      <c r="K31" s="4">
        <f t="shared" si="18"/>
        <v>0.11741898148148147</v>
      </c>
      <c r="L31" s="4">
        <f t="shared" si="18"/>
        <v>0.26197916666666665</v>
      </c>
      <c r="M31" s="4">
        <f t="shared" si="18"/>
        <v>0.86780753968253965</v>
      </c>
      <c r="N31" s="4">
        <f t="shared" si="18"/>
        <v>1.6164145171957669</v>
      </c>
      <c r="O31" s="4">
        <f t="shared" si="18"/>
        <v>1.607688492063492</v>
      </c>
      <c r="P31" s="4">
        <f t="shared" si="18"/>
        <v>11.487640542328043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189</v>
      </c>
      <c r="D32" s="4">
        <f t="shared" ref="D32:P32" si="19">D16/$F$3</f>
        <v>8.2098958333333325</v>
      </c>
      <c r="E32" s="4">
        <f t="shared" si="19"/>
        <v>3.5833333333333335</v>
      </c>
      <c r="F32" s="4">
        <f t="shared" si="19"/>
        <v>3.3645833333333335</v>
      </c>
      <c r="G32" s="4">
        <f t="shared" si="19"/>
        <v>1.9375</v>
      </c>
      <c r="H32" s="4">
        <f t="shared" si="19"/>
        <v>0.30208333333333331</v>
      </c>
      <c r="I32" s="4">
        <f t="shared" si="19"/>
        <v>0.21249999999999999</v>
      </c>
      <c r="J32" s="4">
        <f t="shared" si="19"/>
        <v>7.1260416666666673E-2</v>
      </c>
      <c r="K32" s="4">
        <f t="shared" si="19"/>
        <v>0.2958958333333333</v>
      </c>
      <c r="L32" s="4">
        <f t="shared" si="19"/>
        <v>0.66018750000000004</v>
      </c>
      <c r="M32" s="4">
        <f t="shared" si="19"/>
        <v>2.1868750000000001</v>
      </c>
      <c r="N32" s="4">
        <f t="shared" si="19"/>
        <v>4.0733645833333325</v>
      </c>
      <c r="O32" s="4">
        <f t="shared" si="19"/>
        <v>4.0513750000000002</v>
      </c>
      <c r="P32" s="4">
        <f t="shared" si="19"/>
        <v>28.948854166666667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190</v>
      </c>
      <c r="D33" s="4">
        <f t="shared" ref="D33:P33" si="20">D17/$F$4</f>
        <v>2.5631175275512286</v>
      </c>
      <c r="E33" s="4">
        <f t="shared" si="20"/>
        <v>1.7950188102279354</v>
      </c>
      <c r="F33" s="4">
        <f t="shared" si="20"/>
        <v>1.4923756366513377</v>
      </c>
      <c r="G33" s="4">
        <f t="shared" si="20"/>
        <v>0.80417471042471034</v>
      </c>
      <c r="H33" s="4">
        <f t="shared" si="20"/>
        <v>0.40653036576949614</v>
      </c>
      <c r="I33" s="4">
        <f t="shared" si="20"/>
        <v>8.4325396825396817E-2</v>
      </c>
      <c r="J33" s="4">
        <f t="shared" si="20"/>
        <v>2.8277943121693121E-2</v>
      </c>
      <c r="K33" s="4">
        <f t="shared" si="20"/>
        <v>0.11741898148148147</v>
      </c>
      <c r="L33" s="4">
        <f t="shared" si="20"/>
        <v>0.34943990384615381</v>
      </c>
      <c r="M33" s="4">
        <f t="shared" si="20"/>
        <v>0.80567083477808599</v>
      </c>
      <c r="N33" s="4">
        <f t="shared" si="20"/>
        <v>1.5443919969359048</v>
      </c>
      <c r="O33" s="4">
        <f t="shared" si="20"/>
        <v>1.8329294906955955</v>
      </c>
      <c r="P33" s="4">
        <f t="shared" si="20"/>
        <v>11.823671598309019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191</v>
      </c>
      <c r="D34" s="4">
        <f t="shared" ref="D34:P34" si="21">D17/$F$3</f>
        <v>6.4590561694290969</v>
      </c>
      <c r="E34" s="4">
        <f t="shared" si="21"/>
        <v>4.5234474017743977</v>
      </c>
      <c r="F34" s="4">
        <f t="shared" si="21"/>
        <v>3.7607866043613711</v>
      </c>
      <c r="G34" s="4">
        <f t="shared" si="21"/>
        <v>2.0265202702702703</v>
      </c>
      <c r="H34" s="4">
        <f t="shared" si="21"/>
        <v>1.0244565217391304</v>
      </c>
      <c r="I34" s="4">
        <f t="shared" si="21"/>
        <v>0.21249999999999999</v>
      </c>
      <c r="J34" s="4">
        <f t="shared" si="21"/>
        <v>7.1260416666666673E-2</v>
      </c>
      <c r="K34" s="4">
        <f t="shared" si="21"/>
        <v>0.2958958333333333</v>
      </c>
      <c r="L34" s="4">
        <f t="shared" si="21"/>
        <v>0.88058855769230771</v>
      </c>
      <c r="M34" s="4">
        <f t="shared" si="21"/>
        <v>2.0302905036407766</v>
      </c>
      <c r="N34" s="4">
        <f t="shared" si="21"/>
        <v>3.8918678322784803</v>
      </c>
      <c r="O34" s="4">
        <f t="shared" si="21"/>
        <v>4.6189823165529011</v>
      </c>
      <c r="P34" s="4">
        <f t="shared" si="21"/>
        <v>29.79565242773873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192</v>
      </c>
      <c r="D35" s="4">
        <f t="shared" ref="D35:H35" si="22">1000*D31/D13</f>
        <v>3.5998841679090288</v>
      </c>
      <c r="E35" s="4">
        <f t="shared" si="22"/>
        <v>2.7033415816685777</v>
      </c>
      <c r="F35" s="4">
        <f t="shared" si="22"/>
        <v>2.49561143252732</v>
      </c>
      <c r="G35" s="4">
        <f t="shared" si="22"/>
        <v>2.0779708279708275</v>
      </c>
      <c r="H35" s="4">
        <f t="shared" si="22"/>
        <v>2.6059638831377963</v>
      </c>
      <c r="I35" s="52"/>
      <c r="J35" s="52"/>
      <c r="K35" s="52"/>
      <c r="L35" s="4">
        <f t="shared" ref="L35:P35" si="23">1000*L31/L13</f>
        <v>1.8686625874125873</v>
      </c>
      <c r="M35" s="4">
        <f t="shared" si="23"/>
        <v>2.1484555594082293</v>
      </c>
      <c r="N35" s="4">
        <f t="shared" si="23"/>
        <v>2.9814517315364961</v>
      </c>
      <c r="O35" s="4">
        <f t="shared" si="23"/>
        <v>2.7983656346497643</v>
      </c>
      <c r="P35" s="4">
        <f t="shared" si="23"/>
        <v>2.8040628118597577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2500</v>
      </c>
      <c r="E39" s="8" t="s">
        <v>30</v>
      </c>
      <c r="F39" s="4"/>
      <c r="G39" s="8" t="s">
        <v>65</v>
      </c>
      <c r="H39" s="4"/>
      <c r="I39" s="4"/>
      <c r="J39" s="4"/>
      <c r="K39" s="4">
        <v>6100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2000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3600</v>
      </c>
      <c r="L40" s="8" t="s">
        <v>30</v>
      </c>
      <c r="M40" s="4"/>
      <c r="N40" s="10">
        <v>9600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2800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0.5901639344262295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7300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0.33027522935779818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5.01</v>
      </c>
      <c r="E46" s="4">
        <v>3.5</v>
      </c>
      <c r="F46" s="4">
        <v>3.47</v>
      </c>
      <c r="G46" s="4">
        <v>3.43</v>
      </c>
      <c r="H46" s="4">
        <v>3.54</v>
      </c>
      <c r="I46" s="4">
        <v>4.34</v>
      </c>
      <c r="J46" s="4">
        <v>4.13</v>
      </c>
      <c r="K46" s="4">
        <v>4.18</v>
      </c>
      <c r="L46" s="4">
        <v>4.13</v>
      </c>
      <c r="M46" s="4">
        <v>4.84</v>
      </c>
      <c r="N46" s="4">
        <v>5.48</v>
      </c>
      <c r="O46" s="4">
        <v>4.5999999999999996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(SUMPRODUCT($D$46:D46,$D$11:D11)+SUMPRODUCT('2015'!E$46:$O46,'2015'!E$11:$O11))/(D21+SUM('2015'!E$11:$O11))</f>
        <v>4.0170619586401033</v>
      </c>
      <c r="E48" s="18">
        <f>(SUMPRODUCT($D$46:E46,$D$11:E11)+SUMPRODUCT('2015'!F$46:$O46,'2015'!F$11:$O11))/(E21+SUM('2015'!F$11:$O11))</f>
        <v>3.9398505681391023</v>
      </c>
      <c r="F48" s="18">
        <f>(SUMPRODUCT($D$46:F46,$D$11:F11)+SUMPRODUCT('2015'!G$46:$O46,'2015'!G$11:$O11))/(F21+SUM('2015'!G$11:$O11))</f>
        <v>3.9044172705598212</v>
      </c>
      <c r="G48" s="18">
        <f>(SUMPRODUCT($D$46:G46,$D$11:G11)+SUMPRODUCT('2015'!H$46:$O46,'2015'!H$11:$O11))/(G21+SUM('2015'!H$11:$O11))</f>
        <v>3.8737393018883699</v>
      </c>
      <c r="H48" s="18">
        <f>(SUMPRODUCT($D$46:H46,$D$11:H11)+SUMPRODUCT('2015'!I$46:$O46,'2015'!I$11:$O11))/(H21+SUM('2015'!I$11:$O11))</f>
        <v>3.8945137498235267</v>
      </c>
      <c r="I48" s="18">
        <f>(SUMPRODUCT($D$46:I46,$D$11:I11)+SUMPRODUCT('2015'!J$46:$O46,'2015'!J$11:$O11))/(I21+SUM('2015'!J$11:$O11))</f>
        <v>3.9889803982164143</v>
      </c>
      <c r="J48" s="18">
        <f>(SUMPRODUCT($D$46:J46,$D$11:J11)+SUMPRODUCT('2015'!K$46:$O46,'2015'!K$11:$O11))/(J21+SUM('2015'!K$11:$O11))</f>
        <v>4.0144664740035463</v>
      </c>
      <c r="K48" s="18">
        <f>(SUMPRODUCT($D$46:K46,$D$11:K11)+SUMPRODUCT('2015'!L$46:$O46,'2015'!L$11:$O11))/(K21+SUM('2015'!L$11:$O11))</f>
        <v>4.0133058787486808</v>
      </c>
      <c r="L48" s="18">
        <f>(SUMPRODUCT($D$46:L46,$D$11:L11)+SUMPRODUCT('2015'!M$46:$O46,'2015'!M$11:$O11))/(L21+SUM('2015'!M$11:$O11))</f>
        <v>4.0282944563160976</v>
      </c>
      <c r="M48" s="18">
        <f>(SUMPRODUCT($D$46:M46,$D$11:M11)+SUMPRODUCT('2015'!N$46:$O46,'2015'!N$11:$O11))/(M21+SUM('2015'!N$11:$O11))</f>
        <v>4.0811392398145028</v>
      </c>
      <c r="N48" s="18">
        <f>(SUMPRODUCT($D$46:N46,$D$11:N11)+SUMPRODUCT('2015'!O$46:$O46,'2015'!O$11:$O11))/(N21+SUM('2015'!O$11:$O11))</f>
        <v>4.2398024277583124</v>
      </c>
      <c r="O48" s="18">
        <f>(SUMPRODUCT($D$46:O46,$D$11:O11))/(O21)</f>
        <v>4.3518509637142841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D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193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194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9.945652173913043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195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2015</v>
      </c>
      <c r="B8" s="25" t="s">
        <v>27</v>
      </c>
      <c r="C8" s="26" t="s">
        <v>196</v>
      </c>
      <c r="D8" s="27">
        <v>-2.88</v>
      </c>
      <c r="E8" s="27">
        <v>-0.72</v>
      </c>
      <c r="F8" s="27">
        <v>1.05</v>
      </c>
      <c r="G8" s="27">
        <v>4.7300000000000004</v>
      </c>
      <c r="H8" s="27">
        <v>9.14</v>
      </c>
      <c r="I8" s="27">
        <v>12.91</v>
      </c>
      <c r="J8" s="27">
        <v>15.28</v>
      </c>
      <c r="K8" s="27">
        <v>15.68</v>
      </c>
      <c r="L8" s="27">
        <v>11.43</v>
      </c>
      <c r="M8" s="27">
        <v>3.81</v>
      </c>
      <c r="N8" s="27">
        <v>3.8</v>
      </c>
      <c r="O8" s="28">
        <v>1.51</v>
      </c>
      <c r="P8" s="27">
        <f>AVERAGE(D8:O8)</f>
        <v>6.3116666666666674</v>
      </c>
      <c r="Q8" s="2"/>
      <c r="R8" s="2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2015</v>
      </c>
      <c r="B9" s="25" t="s">
        <v>29</v>
      </c>
      <c r="C9" s="30" t="s">
        <v>30</v>
      </c>
      <c r="D9" s="31">
        <v>543.23</v>
      </c>
      <c r="E9" s="31">
        <v>361.97</v>
      </c>
      <c r="F9" s="31">
        <v>428.06</v>
      </c>
      <c r="G9" s="31">
        <v>321.8</v>
      </c>
      <c r="H9" s="31">
        <v>237.6</v>
      </c>
      <c r="I9" s="31">
        <v>215.78</v>
      </c>
      <c r="J9" s="31">
        <v>109.81</v>
      </c>
      <c r="K9" s="31">
        <v>139.6</v>
      </c>
      <c r="L9" s="31">
        <v>203.36</v>
      </c>
      <c r="M9" s="31">
        <v>338.04</v>
      </c>
      <c r="N9" s="31">
        <v>369.29</v>
      </c>
      <c r="O9" s="76">
        <v>423.69</v>
      </c>
      <c r="P9" s="31">
        <f t="shared" ref="P9:P17" si="0">SUM(D9:O9)</f>
        <v>3692.23</v>
      </c>
      <c r="Q9" s="2"/>
      <c r="R9" s="34">
        <f t="shared" ref="R9:R12" si="1">P9/$P$11</f>
        <v>0.52695254297278626</v>
      </c>
      <c r="S9" s="34"/>
      <c r="T9" s="29"/>
      <c r="U9" s="29"/>
      <c r="V9" s="34"/>
      <c r="W9" s="36"/>
      <c r="X9" s="11"/>
      <c r="Y9" s="2"/>
      <c r="Z9" s="2"/>
    </row>
    <row r="10" spans="1:26" ht="12.75" customHeight="1" x14ac:dyDescent="0.25">
      <c r="A10" s="24">
        <v>2015</v>
      </c>
      <c r="B10" s="25" t="s">
        <v>31</v>
      </c>
      <c r="C10" s="30" t="s">
        <v>30</v>
      </c>
      <c r="D10" s="31">
        <v>428.58</v>
      </c>
      <c r="E10" s="31">
        <v>293.54000000000002</v>
      </c>
      <c r="F10" s="31">
        <v>388.09</v>
      </c>
      <c r="G10" s="31">
        <v>320.7</v>
      </c>
      <c r="H10" s="31">
        <v>228.26</v>
      </c>
      <c r="I10" s="31">
        <v>187.56</v>
      </c>
      <c r="J10" s="31">
        <v>104.57</v>
      </c>
      <c r="K10" s="31">
        <v>157.68</v>
      </c>
      <c r="L10" s="31">
        <v>235.8</v>
      </c>
      <c r="M10" s="31">
        <v>312.39999999999998</v>
      </c>
      <c r="N10" s="31">
        <v>318.77</v>
      </c>
      <c r="O10" s="43">
        <v>338.58</v>
      </c>
      <c r="P10" s="31">
        <f t="shared" si="0"/>
        <v>3314.53</v>
      </c>
      <c r="Q10" s="39"/>
      <c r="R10" s="34">
        <f t="shared" si="1"/>
        <v>0.47304745702721374</v>
      </c>
      <c r="S10" s="34"/>
      <c r="T10" s="29"/>
      <c r="U10" s="29"/>
      <c r="V10" s="34"/>
      <c r="W10" s="36"/>
      <c r="X10" s="11"/>
      <c r="Y10" s="2"/>
      <c r="Z10" s="2"/>
    </row>
    <row r="11" spans="1:26" ht="12.75" customHeight="1" x14ac:dyDescent="0.25">
      <c r="A11" s="24">
        <v>2015</v>
      </c>
      <c r="B11" s="25" t="s">
        <v>32</v>
      </c>
      <c r="C11" s="30" t="s">
        <v>30</v>
      </c>
      <c r="D11" s="31">
        <f t="shared" ref="D11:O11" si="2">SUM(D9:D10)</f>
        <v>971.81</v>
      </c>
      <c r="E11" s="31">
        <f t="shared" si="2"/>
        <v>655.51</v>
      </c>
      <c r="F11" s="31">
        <f t="shared" si="2"/>
        <v>816.15</v>
      </c>
      <c r="G11" s="31">
        <f t="shared" si="2"/>
        <v>642.5</v>
      </c>
      <c r="H11" s="31">
        <f t="shared" si="2"/>
        <v>465.86</v>
      </c>
      <c r="I11" s="31">
        <f t="shared" si="2"/>
        <v>403.34000000000003</v>
      </c>
      <c r="J11" s="31">
        <f t="shared" si="2"/>
        <v>214.38</v>
      </c>
      <c r="K11" s="31">
        <f t="shared" si="2"/>
        <v>297.27999999999997</v>
      </c>
      <c r="L11" s="31">
        <f t="shared" si="2"/>
        <v>439.16</v>
      </c>
      <c r="M11" s="31">
        <f t="shared" si="2"/>
        <v>650.44000000000005</v>
      </c>
      <c r="N11" s="31">
        <f t="shared" si="2"/>
        <v>688.06</v>
      </c>
      <c r="O11" s="42">
        <f t="shared" si="2"/>
        <v>762.27</v>
      </c>
      <c r="P11" s="40">
        <f t="shared" si="0"/>
        <v>7006.76</v>
      </c>
      <c r="Q11" s="39"/>
      <c r="R11" s="34">
        <f t="shared" si="1"/>
        <v>1</v>
      </c>
      <c r="S11" s="34"/>
      <c r="T11" s="29"/>
      <c r="U11" s="29"/>
      <c r="V11" s="34"/>
      <c r="W11" s="36"/>
      <c r="X11" s="11"/>
      <c r="Y11" s="2"/>
      <c r="Z11" s="2"/>
    </row>
    <row r="12" spans="1:26" ht="12.75" customHeight="1" x14ac:dyDescent="0.25">
      <c r="A12" s="24">
        <v>2015</v>
      </c>
      <c r="B12" s="25" t="s">
        <v>33</v>
      </c>
      <c r="C12" s="30" t="s">
        <v>30</v>
      </c>
      <c r="D12" s="31">
        <f>(1511-1009)</f>
        <v>502</v>
      </c>
      <c r="E12" s="31">
        <f>(1833-1511)</f>
        <v>322</v>
      </c>
      <c r="F12" s="31">
        <f>(2133-1833)</f>
        <v>300</v>
      </c>
      <c r="G12" s="31">
        <v>231.4</v>
      </c>
      <c r="H12" s="31">
        <v>115</v>
      </c>
      <c r="I12" s="31">
        <f>(2534-2489-1)</f>
        <v>44</v>
      </c>
      <c r="J12" s="31">
        <f>(2542.19-2534+5)</f>
        <v>13.190000000000055</v>
      </c>
      <c r="K12" s="31">
        <f>(12-5)</f>
        <v>7</v>
      </c>
      <c r="L12" s="31">
        <v>68.3</v>
      </c>
      <c r="M12" s="31">
        <v>209.5</v>
      </c>
      <c r="N12" s="31">
        <v>231</v>
      </c>
      <c r="O12" s="42">
        <v>289</v>
      </c>
      <c r="P12" s="31">
        <f t="shared" si="0"/>
        <v>2332.3900000000003</v>
      </c>
      <c r="Q12" s="39"/>
      <c r="R12" s="34">
        <f t="shared" si="1"/>
        <v>0.33287710725071218</v>
      </c>
      <c r="S12" s="34"/>
      <c r="T12" s="29"/>
      <c r="U12" s="29"/>
      <c r="V12" s="34"/>
      <c r="W12" s="36"/>
      <c r="X12" s="11">
        <f>P12+'2014'!X12</f>
        <v>12088.380714285715</v>
      </c>
      <c r="Y12" s="2"/>
      <c r="Z12" s="11"/>
    </row>
    <row r="13" spans="1:26" ht="12.75" customHeight="1" x14ac:dyDescent="0.25">
      <c r="A13" s="24">
        <v>2015</v>
      </c>
      <c r="B13" s="41" t="s">
        <v>36</v>
      </c>
      <c r="C13" s="26" t="s">
        <v>197</v>
      </c>
      <c r="D13" s="31">
        <v>627</v>
      </c>
      <c r="E13" s="31">
        <v>502</v>
      </c>
      <c r="F13" s="31">
        <v>499</v>
      </c>
      <c r="G13" s="31">
        <v>366</v>
      </c>
      <c r="H13" s="42">
        <v>184</v>
      </c>
      <c r="I13" s="31">
        <v>15</v>
      </c>
      <c r="J13" s="31">
        <v>0</v>
      </c>
      <c r="K13" s="31">
        <v>5</v>
      </c>
      <c r="L13" s="31">
        <v>115</v>
      </c>
      <c r="M13" s="31">
        <v>404</v>
      </c>
      <c r="N13" s="31">
        <v>393</v>
      </c>
      <c r="O13" s="42">
        <v>480</v>
      </c>
      <c r="P13" s="31">
        <f t="shared" si="0"/>
        <v>3590</v>
      </c>
      <c r="Q13" s="36"/>
      <c r="R13" s="34"/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2015</v>
      </c>
      <c r="B14" s="41" t="s">
        <v>39</v>
      </c>
      <c r="C14" s="26" t="s">
        <v>198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2015</v>
      </c>
      <c r="B15" s="25" t="s">
        <v>41</v>
      </c>
      <c r="C15" s="30" t="s">
        <v>30</v>
      </c>
      <c r="D15" s="31">
        <v>193</v>
      </c>
      <c r="E15" s="31">
        <v>125</v>
      </c>
      <c r="F15" s="31">
        <v>208</v>
      </c>
      <c r="G15" s="31">
        <v>207</v>
      </c>
      <c r="H15" s="31">
        <v>156</v>
      </c>
      <c r="I15" s="31">
        <v>157</v>
      </c>
      <c r="J15" s="31">
        <v>84</v>
      </c>
      <c r="K15" s="31">
        <v>123</v>
      </c>
      <c r="L15" s="31">
        <v>174</v>
      </c>
      <c r="M15" s="31">
        <v>202</v>
      </c>
      <c r="N15" s="31">
        <v>197</v>
      </c>
      <c r="O15" s="42">
        <v>177</v>
      </c>
      <c r="P15" s="31">
        <f t="shared" si="0"/>
        <v>2003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2015</v>
      </c>
      <c r="B16" s="25" t="s">
        <v>42</v>
      </c>
      <c r="C16" s="30" t="s">
        <v>30</v>
      </c>
      <c r="D16" s="31">
        <f t="shared" ref="D16:O16" si="3">D12</f>
        <v>502</v>
      </c>
      <c r="E16" s="31">
        <f t="shared" si="3"/>
        <v>322</v>
      </c>
      <c r="F16" s="31">
        <f t="shared" si="3"/>
        <v>300</v>
      </c>
      <c r="G16" s="31">
        <f t="shared" si="3"/>
        <v>231.4</v>
      </c>
      <c r="H16" s="31">
        <f t="shared" si="3"/>
        <v>115</v>
      </c>
      <c r="I16" s="31">
        <f t="shared" si="3"/>
        <v>44</v>
      </c>
      <c r="J16" s="31">
        <f t="shared" si="3"/>
        <v>13.190000000000055</v>
      </c>
      <c r="K16" s="31">
        <f t="shared" si="3"/>
        <v>7</v>
      </c>
      <c r="L16" s="31">
        <f t="shared" si="3"/>
        <v>68.3</v>
      </c>
      <c r="M16" s="31">
        <f t="shared" si="3"/>
        <v>209.5</v>
      </c>
      <c r="N16" s="31">
        <f t="shared" si="3"/>
        <v>231</v>
      </c>
      <c r="O16" s="31">
        <f t="shared" si="3"/>
        <v>289</v>
      </c>
      <c r="P16" s="31">
        <f t="shared" si="0"/>
        <v>2332.3900000000003</v>
      </c>
      <c r="Q16" s="2"/>
      <c r="R16" s="2"/>
      <c r="S16" s="2"/>
      <c r="T16" s="29"/>
      <c r="U16" s="29"/>
      <c r="V16" s="11"/>
      <c r="W16" s="36"/>
      <c r="X16" s="2"/>
      <c r="Y16" s="2"/>
      <c r="Z16" s="2"/>
    </row>
    <row r="17" spans="1:26" ht="12.75" customHeight="1" x14ac:dyDescent="0.25">
      <c r="A17" s="24">
        <v>2015</v>
      </c>
      <c r="B17" s="25" t="s">
        <v>43</v>
      </c>
      <c r="C17" s="30" t="s">
        <v>30</v>
      </c>
      <c r="D17" s="31">
        <f t="shared" ref="D17:H17" si="4">IF(D16&lt;0,0,((D14/D13))*D16)</f>
        <v>570.05422647527917</v>
      </c>
      <c r="E17" s="31">
        <f t="shared" si="4"/>
        <v>425.91235059760953</v>
      </c>
      <c r="F17" s="31">
        <f t="shared" si="4"/>
        <v>359.51903807615236</v>
      </c>
      <c r="G17" s="31">
        <f t="shared" si="4"/>
        <v>244.67704918032786</v>
      </c>
      <c r="H17" s="31">
        <f t="shared" si="4"/>
        <v>97.5</v>
      </c>
      <c r="I17" s="46">
        <f t="shared" ref="I17:K17" si="5">I16</f>
        <v>44</v>
      </c>
      <c r="J17" s="46">
        <f t="shared" si="5"/>
        <v>13.190000000000055</v>
      </c>
      <c r="K17" s="46">
        <f t="shared" si="5"/>
        <v>7</v>
      </c>
      <c r="L17" s="31">
        <f t="shared" ref="L17:O17" si="6">IF(L16&lt;0,0,((L14/L13))*L16)</f>
        <v>111.06173913043477</v>
      </c>
      <c r="M17" s="31">
        <f t="shared" si="6"/>
        <v>194.46163366336634</v>
      </c>
      <c r="N17" s="31">
        <f t="shared" si="6"/>
        <v>304.47328244274809</v>
      </c>
      <c r="O17" s="42">
        <f t="shared" si="6"/>
        <v>394.36458333333331</v>
      </c>
      <c r="P17" s="40">
        <f t="shared" si="0"/>
        <v>2766.2139028992519</v>
      </c>
      <c r="Q17" s="47"/>
      <c r="R17" s="11">
        <f>P11-P12-P16</f>
        <v>2341.9799999999996</v>
      </c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31.348709677419354</v>
      </c>
      <c r="E20" s="4">
        <f t="shared" si="7"/>
        <v>23.411071428571429</v>
      </c>
      <c r="F20" s="4">
        <f t="shared" si="7"/>
        <v>26.32741935483871</v>
      </c>
      <c r="G20" s="4">
        <f t="shared" si="7"/>
        <v>21.416666666666668</v>
      </c>
      <c r="H20" s="4">
        <f t="shared" si="7"/>
        <v>15.027741935483871</v>
      </c>
      <c r="I20" s="4">
        <f t="shared" si="7"/>
        <v>13.444666666666668</v>
      </c>
      <c r="J20" s="4">
        <f t="shared" si="7"/>
        <v>6.9154838709677415</v>
      </c>
      <c r="K20" s="4">
        <f t="shared" si="7"/>
        <v>9.5896774193548371</v>
      </c>
      <c r="L20" s="4">
        <f t="shared" si="7"/>
        <v>14.638666666666667</v>
      </c>
      <c r="M20" s="4">
        <f t="shared" si="7"/>
        <v>20.98193548387097</v>
      </c>
      <c r="N20" s="4">
        <f t="shared" si="7"/>
        <v>22.935333333333332</v>
      </c>
      <c r="O20" s="4">
        <f t="shared" si="7"/>
        <v>24.589354838709678</v>
      </c>
      <c r="P20" s="4">
        <f>P11/365</f>
        <v>19.196602739726028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971.81</v>
      </c>
      <c r="E21" s="4">
        <f t="shared" ref="E21:O21" si="9">SUM($D$11:E11)</f>
        <v>1627.32</v>
      </c>
      <c r="F21" s="4">
        <f t="shared" si="9"/>
        <v>2443.4699999999998</v>
      </c>
      <c r="G21" s="4">
        <f t="shared" si="9"/>
        <v>3085.97</v>
      </c>
      <c r="H21" s="4">
        <f t="shared" si="9"/>
        <v>3551.83</v>
      </c>
      <c r="I21" s="4">
        <f t="shared" si="9"/>
        <v>3955.17</v>
      </c>
      <c r="J21" s="4">
        <f t="shared" si="9"/>
        <v>4169.55</v>
      </c>
      <c r="K21" s="4">
        <f t="shared" si="9"/>
        <v>4466.83</v>
      </c>
      <c r="L21" s="4">
        <f t="shared" si="9"/>
        <v>4905.99</v>
      </c>
      <c r="M21" s="4">
        <f t="shared" si="9"/>
        <v>5556.43</v>
      </c>
      <c r="N21" s="4">
        <f t="shared" si="9"/>
        <v>6244.49</v>
      </c>
      <c r="O21" s="4">
        <f t="shared" si="9"/>
        <v>7006.76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502</v>
      </c>
      <c r="E22" s="4">
        <f t="shared" ref="E22:O22" si="10">SUM($D$12:E12)</f>
        <v>824</v>
      </c>
      <c r="F22" s="4">
        <f t="shared" si="10"/>
        <v>1124</v>
      </c>
      <c r="G22" s="4">
        <f t="shared" si="10"/>
        <v>1355.4</v>
      </c>
      <c r="H22" s="4">
        <f t="shared" si="10"/>
        <v>1470.4</v>
      </c>
      <c r="I22" s="4">
        <f t="shared" si="10"/>
        <v>1514.4</v>
      </c>
      <c r="J22" s="4">
        <f t="shared" si="10"/>
        <v>1527.5900000000001</v>
      </c>
      <c r="K22" s="4">
        <f t="shared" si="10"/>
        <v>1534.5900000000001</v>
      </c>
      <c r="L22" s="4">
        <f t="shared" si="10"/>
        <v>1602.89</v>
      </c>
      <c r="M22" s="4">
        <f t="shared" si="10"/>
        <v>1812.39</v>
      </c>
      <c r="N22" s="4">
        <f t="shared" si="10"/>
        <v>2043.39</v>
      </c>
      <c r="O22" s="4">
        <f t="shared" si="10"/>
        <v>2332.3900000000003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502</v>
      </c>
      <c r="E23" s="4">
        <f t="shared" ref="E23:O23" si="11">SUM($D$16:E16)</f>
        <v>824</v>
      </c>
      <c r="F23" s="4">
        <f t="shared" si="11"/>
        <v>1124</v>
      </c>
      <c r="G23" s="4">
        <f t="shared" si="11"/>
        <v>1355.4</v>
      </c>
      <c r="H23" s="4">
        <f t="shared" si="11"/>
        <v>1470.4</v>
      </c>
      <c r="I23" s="4">
        <f t="shared" si="11"/>
        <v>1514.4</v>
      </c>
      <c r="J23" s="4">
        <f t="shared" si="11"/>
        <v>1527.5900000000001</v>
      </c>
      <c r="K23" s="4">
        <f t="shared" si="11"/>
        <v>1534.5900000000001</v>
      </c>
      <c r="L23" s="4">
        <f t="shared" si="11"/>
        <v>1602.89</v>
      </c>
      <c r="M23" s="4">
        <f t="shared" si="11"/>
        <v>1812.39</v>
      </c>
      <c r="N23" s="4">
        <f t="shared" si="11"/>
        <v>2043.39</v>
      </c>
      <c r="O23" s="4">
        <f t="shared" si="11"/>
        <v>2332.3900000000003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 t="s">
        <v>30</v>
      </c>
      <c r="D24" s="4">
        <f t="shared" ref="D24:P24" si="12">(D11-D12-D15)/D7</f>
        <v>8.9293548387096759</v>
      </c>
      <c r="E24" s="4">
        <f t="shared" si="12"/>
        <v>7.4467857142857143</v>
      </c>
      <c r="F24" s="4">
        <f t="shared" si="12"/>
        <v>9.9403225806451605</v>
      </c>
      <c r="G24" s="4">
        <f t="shared" si="12"/>
        <v>6.8033333333333337</v>
      </c>
      <c r="H24" s="4">
        <f t="shared" si="12"/>
        <v>6.2858064516129035</v>
      </c>
      <c r="I24" s="4">
        <f t="shared" si="12"/>
        <v>6.7446666666666681</v>
      </c>
      <c r="J24" s="4">
        <f t="shared" si="12"/>
        <v>3.7803225806451595</v>
      </c>
      <c r="K24" s="4">
        <f t="shared" si="12"/>
        <v>5.396129032258064</v>
      </c>
      <c r="L24" s="4">
        <f t="shared" si="12"/>
        <v>6.5620000000000003</v>
      </c>
      <c r="M24" s="4">
        <f t="shared" si="12"/>
        <v>7.707741935483873</v>
      </c>
      <c r="N24" s="4">
        <f t="shared" si="12"/>
        <v>8.668666666666665</v>
      </c>
      <c r="O24" s="4">
        <f t="shared" si="12"/>
        <v>9.557096774193548</v>
      </c>
      <c r="P24" s="4">
        <f t="shared" si="12"/>
        <v>7.3188219178082186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D21+'2014'!$P$11-'2014'!D21</f>
        <v>6901.18</v>
      </c>
      <c r="E25" s="10">
        <f>E21+'2014'!$P$11-'2014'!E21</f>
        <v>6934.5500000000011</v>
      </c>
      <c r="F25" s="10">
        <f>F21+'2014'!$P$11-'2014'!F21</f>
        <v>6997</v>
      </c>
      <c r="G25" s="10">
        <f>G21+'2014'!$P$11-'2014'!G21</f>
        <v>7051.48</v>
      </c>
      <c r="H25" s="10">
        <f>H21+'2014'!$P$11-'2014'!H21</f>
        <v>6985.9600000000009</v>
      </c>
      <c r="I25" s="10">
        <f>I21+'2014'!$P$11-'2014'!I21</f>
        <v>7078.5400000000009</v>
      </c>
      <c r="J25" s="10">
        <f>J21+'2014'!$P$11-'2014'!J21</f>
        <v>7075.7800000000016</v>
      </c>
      <c r="K25" s="10">
        <f>K21+'2014'!$P$11-'2014'!K21</f>
        <v>7019.5300000000007</v>
      </c>
      <c r="L25" s="10">
        <f>L21+'2014'!$P$11-'2014'!L21</f>
        <v>7035.6100000000006</v>
      </c>
      <c r="M25" s="10">
        <f>M21+'2014'!$P$11-'2014'!M21</f>
        <v>7076.7000000000007</v>
      </c>
      <c r="N25" s="10">
        <f>N21+'2014'!$P$11-'2014'!N21</f>
        <v>7058.75</v>
      </c>
      <c r="O25" s="10">
        <f>O21+'2014'!$P$11-'2014'!O21</f>
        <v>7006.76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0.51656187937971421</v>
      </c>
      <c r="E27" s="73">
        <f t="shared" si="13"/>
        <v>0.49122057634513583</v>
      </c>
      <c r="F27" s="73">
        <f t="shared" si="13"/>
        <v>0.36757948906451021</v>
      </c>
      <c r="G27" s="73">
        <f t="shared" si="13"/>
        <v>0.36015564202334632</v>
      </c>
      <c r="H27" s="73">
        <f t="shared" si="13"/>
        <v>0.24685527840982269</v>
      </c>
      <c r="I27" s="73">
        <f t="shared" si="13"/>
        <v>0.10908910596519066</v>
      </c>
      <c r="J27" s="73">
        <f t="shared" si="13"/>
        <v>6.1526261778151202E-2</v>
      </c>
      <c r="K27" s="73">
        <f t="shared" si="13"/>
        <v>2.354682454251884E-2</v>
      </c>
      <c r="L27" s="73">
        <f t="shared" si="13"/>
        <v>0.15552418253028508</v>
      </c>
      <c r="M27" s="73">
        <f t="shared" si="13"/>
        <v>0.32208966238238729</v>
      </c>
      <c r="N27" s="73">
        <f t="shared" si="13"/>
        <v>0.33572653547655729</v>
      </c>
      <c r="O27" s="73">
        <f t="shared" si="13"/>
        <v>0.37913075419470793</v>
      </c>
      <c r="P27" s="73">
        <f t="shared" si="13"/>
        <v>0.33287710725071218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200</v>
      </c>
      <c r="D28" s="4">
        <f t="shared" ref="D28:H28" si="14">D16/D13</f>
        <v>0.80063795853269537</v>
      </c>
      <c r="E28" s="4">
        <f t="shared" si="14"/>
        <v>0.64143426294820716</v>
      </c>
      <c r="F28" s="4">
        <f t="shared" si="14"/>
        <v>0.60120240480961928</v>
      </c>
      <c r="G28" s="4">
        <f t="shared" si="14"/>
        <v>0.63224043715847</v>
      </c>
      <c r="H28" s="4">
        <f t="shared" si="14"/>
        <v>0.625</v>
      </c>
      <c r="I28" s="52"/>
      <c r="J28" s="52"/>
      <c r="K28" s="52"/>
      <c r="L28" s="4">
        <f t="shared" ref="L28:P28" si="15">L16/L13</f>
        <v>0.59391304347826079</v>
      </c>
      <c r="M28" s="4">
        <f t="shared" si="15"/>
        <v>0.51856435643564358</v>
      </c>
      <c r="N28" s="4">
        <f t="shared" si="15"/>
        <v>0.58778625954198471</v>
      </c>
      <c r="O28" s="4">
        <f t="shared" si="15"/>
        <v>0.6020833333333333</v>
      </c>
      <c r="P28" s="4">
        <f t="shared" si="15"/>
        <v>0.64969080779944299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16.193548387096776</v>
      </c>
      <c r="E29" s="4">
        <f t="shared" si="16"/>
        <v>11.5</v>
      </c>
      <c r="F29" s="4">
        <f t="shared" si="16"/>
        <v>9.67741935483871</v>
      </c>
      <c r="G29" s="4">
        <f t="shared" si="16"/>
        <v>7.7133333333333338</v>
      </c>
      <c r="H29" s="4">
        <f t="shared" si="16"/>
        <v>3.7096774193548385</v>
      </c>
      <c r="I29" s="4">
        <f t="shared" si="16"/>
        <v>1.4666666666666666</v>
      </c>
      <c r="J29" s="4">
        <f t="shared" si="16"/>
        <v>0.4254838709677437</v>
      </c>
      <c r="K29" s="4">
        <f t="shared" si="16"/>
        <v>0.22580645161290322</v>
      </c>
      <c r="L29" s="4">
        <f t="shared" si="16"/>
        <v>2.2766666666666664</v>
      </c>
      <c r="M29" s="4">
        <f t="shared" si="16"/>
        <v>6.758064516129032</v>
      </c>
      <c r="N29" s="4">
        <f t="shared" si="16"/>
        <v>7.7</v>
      </c>
      <c r="O29" s="4">
        <f t="shared" si="16"/>
        <v>9.32258064516129</v>
      </c>
      <c r="P29" s="4">
        <f t="shared" si="16"/>
        <v>6.3901095890410966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18.388846015331588</v>
      </c>
      <c r="E30" s="4">
        <f t="shared" si="17"/>
        <v>15.211155378486055</v>
      </c>
      <c r="F30" s="4">
        <f t="shared" si="17"/>
        <v>11.597388325037173</v>
      </c>
      <c r="G30" s="4">
        <f t="shared" si="17"/>
        <v>8.1559016393442612</v>
      </c>
      <c r="H30" s="4">
        <f t="shared" si="17"/>
        <v>3.1451612903225805</v>
      </c>
      <c r="I30" s="4">
        <f t="shared" si="17"/>
        <v>1.4666666666666666</v>
      </c>
      <c r="J30" s="4">
        <f t="shared" si="17"/>
        <v>0.4254838709677437</v>
      </c>
      <c r="K30" s="4">
        <f t="shared" si="17"/>
        <v>0.22580645161290322</v>
      </c>
      <c r="L30" s="4">
        <f t="shared" si="17"/>
        <v>3.7020579710144923</v>
      </c>
      <c r="M30" s="4">
        <f t="shared" si="17"/>
        <v>6.2729559246247204</v>
      </c>
      <c r="N30" s="4">
        <f t="shared" si="17"/>
        <v>10.14910941475827</v>
      </c>
      <c r="O30" s="4">
        <f t="shared" si="17"/>
        <v>12.72143817204301</v>
      </c>
      <c r="P30" s="4">
        <f t="shared" si="17"/>
        <v>7.5786682271212378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201</v>
      </c>
      <c r="D31" s="4">
        <f t="shared" ref="D31:P31" si="18">D16/$F$4</f>
        <v>2.0750661375661372</v>
      </c>
      <c r="E31" s="4">
        <f t="shared" si="18"/>
        <v>1.3310185185185184</v>
      </c>
      <c r="F31" s="4">
        <f t="shared" si="18"/>
        <v>1.2400793650793649</v>
      </c>
      <c r="G31" s="4">
        <f t="shared" si="18"/>
        <v>0.95651455026455023</v>
      </c>
      <c r="H31" s="4">
        <f t="shared" si="18"/>
        <v>0.47536375661375657</v>
      </c>
      <c r="I31" s="4">
        <f t="shared" si="18"/>
        <v>0.18187830687830686</v>
      </c>
      <c r="J31" s="4">
        <f t="shared" si="18"/>
        <v>5.4522156084656305E-2</v>
      </c>
      <c r="K31" s="4">
        <f t="shared" si="18"/>
        <v>2.8935185185185182E-2</v>
      </c>
      <c r="L31" s="4">
        <f t="shared" si="18"/>
        <v>0.28232473544973541</v>
      </c>
      <c r="M31" s="4">
        <f t="shared" si="18"/>
        <v>0.86598875661375652</v>
      </c>
      <c r="N31" s="4">
        <f t="shared" si="18"/>
        <v>0.95486111111111105</v>
      </c>
      <c r="O31" s="4">
        <f t="shared" si="18"/>
        <v>1.1946097883597884</v>
      </c>
      <c r="P31" s="4">
        <f t="shared" si="18"/>
        <v>9.6411623677248688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202</v>
      </c>
      <c r="D32" s="4">
        <f t="shared" ref="D32:P32" si="19">D16/$F$3</f>
        <v>5.229166666666667</v>
      </c>
      <c r="E32" s="4">
        <f t="shared" si="19"/>
        <v>3.3541666666666665</v>
      </c>
      <c r="F32" s="4">
        <f t="shared" si="19"/>
        <v>3.125</v>
      </c>
      <c r="G32" s="4">
        <f t="shared" si="19"/>
        <v>2.4104166666666669</v>
      </c>
      <c r="H32" s="4">
        <f t="shared" si="19"/>
        <v>1.1979166666666667</v>
      </c>
      <c r="I32" s="4">
        <f t="shared" si="19"/>
        <v>0.45833333333333331</v>
      </c>
      <c r="J32" s="4">
        <f t="shared" si="19"/>
        <v>0.13739583333333391</v>
      </c>
      <c r="K32" s="4">
        <f t="shared" si="19"/>
        <v>7.2916666666666671E-2</v>
      </c>
      <c r="L32" s="4">
        <f t="shared" si="19"/>
        <v>0.7114583333333333</v>
      </c>
      <c r="M32" s="4">
        <f t="shared" si="19"/>
        <v>2.1822916666666665</v>
      </c>
      <c r="N32" s="4">
        <f t="shared" si="19"/>
        <v>2.40625</v>
      </c>
      <c r="O32" s="4">
        <f t="shared" si="19"/>
        <v>3.0104166666666665</v>
      </c>
      <c r="P32" s="4">
        <f t="shared" si="19"/>
        <v>24.295729166666671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203</v>
      </c>
      <c r="D33" s="4">
        <f t="shared" ref="D33:P33" si="20">D17/$F$4</f>
        <v>2.3563749440942425</v>
      </c>
      <c r="E33" s="4">
        <f t="shared" si="20"/>
        <v>1.7605503910284785</v>
      </c>
      <c r="F33" s="4">
        <f t="shared" si="20"/>
        <v>1.4861071349047301</v>
      </c>
      <c r="G33" s="4">
        <f t="shared" si="20"/>
        <v>1.0113965326567784</v>
      </c>
      <c r="H33" s="4">
        <f t="shared" si="20"/>
        <v>0.40302579365079361</v>
      </c>
      <c r="I33" s="4">
        <f t="shared" si="20"/>
        <v>0.18187830687830686</v>
      </c>
      <c r="J33" s="4">
        <f t="shared" si="20"/>
        <v>5.4522156084656305E-2</v>
      </c>
      <c r="K33" s="4">
        <f t="shared" si="20"/>
        <v>2.8935185185185182E-2</v>
      </c>
      <c r="L33" s="4">
        <f t="shared" si="20"/>
        <v>0.4590845698182654</v>
      </c>
      <c r="M33" s="4">
        <f t="shared" si="20"/>
        <v>0.80382619735187799</v>
      </c>
      <c r="N33" s="4">
        <f t="shared" si="20"/>
        <v>1.2585701159174441</v>
      </c>
      <c r="O33" s="4">
        <f t="shared" si="20"/>
        <v>1.6301446070326278</v>
      </c>
      <c r="P33" s="4">
        <f t="shared" si="20"/>
        <v>11.434415934603388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204</v>
      </c>
      <c r="D34" s="4">
        <f t="shared" ref="D34:P34" si="21">D17/$F$3</f>
        <v>5.9380648591174916</v>
      </c>
      <c r="E34" s="4">
        <f t="shared" si="21"/>
        <v>4.4365869853917657</v>
      </c>
      <c r="F34" s="4">
        <f t="shared" si="21"/>
        <v>3.7449899799599202</v>
      </c>
      <c r="G34" s="4">
        <f t="shared" si="21"/>
        <v>2.5487192622950818</v>
      </c>
      <c r="H34" s="4">
        <f t="shared" si="21"/>
        <v>1.015625</v>
      </c>
      <c r="I34" s="4">
        <f t="shared" si="21"/>
        <v>0.45833333333333331</v>
      </c>
      <c r="J34" s="4">
        <f t="shared" si="21"/>
        <v>0.13739583333333391</v>
      </c>
      <c r="K34" s="4">
        <f t="shared" si="21"/>
        <v>7.2916666666666671E-2</v>
      </c>
      <c r="L34" s="4">
        <f t="shared" si="21"/>
        <v>1.1568931159420288</v>
      </c>
      <c r="M34" s="4">
        <f t="shared" si="21"/>
        <v>2.0256420173267329</v>
      </c>
      <c r="N34" s="4">
        <f t="shared" si="21"/>
        <v>3.1715966921119594</v>
      </c>
      <c r="O34" s="4">
        <f t="shared" si="21"/>
        <v>4.1079644097222223</v>
      </c>
      <c r="P34" s="4">
        <f t="shared" si="21"/>
        <v>28.814728155200541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205</v>
      </c>
      <c r="D35" s="4">
        <f t="shared" ref="D35:H35" si="22">1000*D31/D13</f>
        <v>3.3095153709188789</v>
      </c>
      <c r="E35" s="4">
        <f t="shared" si="22"/>
        <v>2.6514313117898776</v>
      </c>
      <c r="F35" s="4">
        <f t="shared" si="22"/>
        <v>2.4851289881349996</v>
      </c>
      <c r="G35" s="4">
        <f t="shared" si="22"/>
        <v>2.613427732963252</v>
      </c>
      <c r="H35" s="4">
        <f t="shared" si="22"/>
        <v>2.5834986772486768</v>
      </c>
      <c r="I35" s="52"/>
      <c r="J35" s="52"/>
      <c r="K35" s="52"/>
      <c r="L35" s="4">
        <f t="shared" ref="L35:P35" si="23">1000*L31/L13</f>
        <v>2.4549976995629166</v>
      </c>
      <c r="M35" s="4">
        <f t="shared" si="23"/>
        <v>2.1435365262716748</v>
      </c>
      <c r="N35" s="4">
        <f t="shared" si="23"/>
        <v>2.4296720384506645</v>
      </c>
      <c r="O35" s="4">
        <f t="shared" si="23"/>
        <v>2.4887703924162259</v>
      </c>
      <c r="P35" s="4">
        <f t="shared" si="23"/>
        <v>2.6855605481127767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2300</v>
      </c>
      <c r="E39" s="8" t="s">
        <v>30</v>
      </c>
      <c r="F39" s="4"/>
      <c r="G39" s="8" t="s">
        <v>65</v>
      </c>
      <c r="H39" s="4"/>
      <c r="I39" s="4"/>
      <c r="J39" s="4"/>
      <c r="K39" s="4">
        <v>7000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2300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4700</v>
      </c>
      <c r="L40" s="8" t="s">
        <v>30</v>
      </c>
      <c r="M40" s="4"/>
      <c r="N40" s="10">
        <f>SUM(D40:D41,K39)</f>
        <v>11700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2400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0.67142857142857137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7000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0.40170940170940173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4.5</v>
      </c>
      <c r="E46" s="4">
        <v>4.33</v>
      </c>
      <c r="F46" s="4">
        <v>3.8</v>
      </c>
      <c r="G46" s="4">
        <v>3.8</v>
      </c>
      <c r="H46" s="29">
        <v>3.3</v>
      </c>
      <c r="I46" s="4">
        <v>2.59</v>
      </c>
      <c r="J46" s="4">
        <v>3.28</v>
      </c>
      <c r="K46" s="4">
        <v>4.25</v>
      </c>
      <c r="L46" s="4">
        <v>3.88</v>
      </c>
      <c r="M46" s="4">
        <v>4.21</v>
      </c>
      <c r="N46" s="4">
        <v>4.1100000000000003</v>
      </c>
      <c r="O46" s="4">
        <v>3.54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(SUMPRODUCT($D$46:D46,$D$11:D11)+SUMPRODUCT('2014'!E$46:$O46,'2014'!E$11:$O11))/(D21+SUM('2014'!E$11:$O11))</f>
        <v>4.6177797565054091</v>
      </c>
      <c r="E48" s="18">
        <f>(SUMPRODUCT($D$46:E46,$D$11:E11)+SUMPRODUCT('2014'!F$46:$O46,'2014'!F$11:$O11))/(E21+SUM('2014'!F$11:$O11))</f>
        <v>4.5930687643754826</v>
      </c>
      <c r="F48" s="18">
        <f>(SUMPRODUCT($D$46:F46,$D$11:F11)+SUMPRODUCT('2014'!G$46:$O46,'2014'!G$11:$O11))/(F21+SUM('2014'!G$11:$O11))</f>
        <v>4.5472120908960987</v>
      </c>
      <c r="G48" s="18">
        <f>(SUMPRODUCT($D$46:G46,$D$11:G11)+SUMPRODUCT('2014'!H$46:$O46,'2014'!H$11:$O11))/(G21+SUM('2014'!H$11:$O11))</f>
        <v>4.5147544345300563</v>
      </c>
      <c r="H48" s="18">
        <f>(SUMPRODUCT($D$46:H46,$D$11:H11)+SUMPRODUCT('2014'!I$46:$O46,'2014'!I$11:$O11))/(H21+SUM('2014'!I$11:$O11))</f>
        <v>4.4295461182142466</v>
      </c>
      <c r="I48" s="18">
        <f>(SUMPRODUCT($D$46:I46,$D$11:I11)+SUMPRODUCT('2014'!J$46:$O46,'2014'!J$11:$O11))/(I21+SUM('2014'!J$11:$O11))</f>
        <v>4.3163662845728075</v>
      </c>
      <c r="J48" s="18">
        <f>(SUMPRODUCT($D$46:J46,$D$11:J11)+SUMPRODUCT('2014'!K$46:$O46,'2014'!K$11:$O11))/(J21+SUM('2014'!K$11:$O11))</f>
        <v>4.2710457363004499</v>
      </c>
      <c r="K48" s="18">
        <f>(SUMPRODUCT($D$46:K46,$D$11:K11)+SUMPRODUCT('2014'!L$46:$O46,'2014'!L$11:$O11))/(K21+SUM('2014'!L$11:$O11))</f>
        <v>4.2354561060355902</v>
      </c>
      <c r="L48" s="18">
        <f>(SUMPRODUCT($D$46:L46,$D$11:L11)+SUMPRODUCT('2014'!M$46:$O46,'2014'!M$11:$O11))/(L21+SUM('2014'!M$11:$O11))</f>
        <v>4.1696988889378463</v>
      </c>
      <c r="M48" s="18">
        <f>(SUMPRODUCT($D$46:M46,$D$11:M11)+SUMPRODUCT('2014'!N$46:$O46,'2014'!N$11:$O11))/(M21+SUM('2014'!N$11:$O11))</f>
        <v>4.1199911116763461</v>
      </c>
      <c r="N48" s="18">
        <f>(SUMPRODUCT($D$46:N46,$D$11:N11)+SUMPRODUCT('2014'!O$46:$O46,'2014'!O$11:$O11))/(N21+SUM('2014'!O$11:$O11))</f>
        <v>4.0730075296617674</v>
      </c>
      <c r="O48" s="18">
        <f>(SUMPRODUCT($D$46:O46,$D$11:O11))/(O21)</f>
        <v>3.8921875303278544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E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193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206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(SUM(I11:K11))/92</f>
        <v>9.580760869565216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207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2014</v>
      </c>
      <c r="B8" s="25" t="s">
        <v>27</v>
      </c>
      <c r="C8" s="26" t="s">
        <v>208</v>
      </c>
      <c r="D8" s="27">
        <v>-8.6999999999999993</v>
      </c>
      <c r="E8" s="27">
        <v>-0.6</v>
      </c>
      <c r="F8" s="27">
        <v>1</v>
      </c>
      <c r="G8" s="27">
        <v>4.8</v>
      </c>
      <c r="H8" s="27">
        <v>10.199999999999999</v>
      </c>
      <c r="I8" s="27">
        <v>12.8</v>
      </c>
      <c r="J8" s="27">
        <v>19</v>
      </c>
      <c r="K8" s="27">
        <v>17.100000000000001</v>
      </c>
      <c r="L8" s="27">
        <v>11.1</v>
      </c>
      <c r="M8" s="27">
        <v>5.0999999999999996</v>
      </c>
      <c r="N8" s="27">
        <v>1.9</v>
      </c>
      <c r="O8" s="28">
        <v>-2</v>
      </c>
      <c r="P8" s="27">
        <f>AVERAGE(D8:O8)</f>
        <v>5.9750000000000005</v>
      </c>
      <c r="Q8" s="2"/>
      <c r="R8" s="2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2014</v>
      </c>
      <c r="B9" s="25" t="s">
        <v>29</v>
      </c>
      <c r="C9" s="30" t="s">
        <v>30</v>
      </c>
      <c r="D9" s="31">
        <v>675</v>
      </c>
      <c r="E9" s="31">
        <v>389.98</v>
      </c>
      <c r="F9" s="76">
        <v>423.22</v>
      </c>
      <c r="G9" s="31">
        <v>288.63</v>
      </c>
      <c r="H9" s="31">
        <v>244.7</v>
      </c>
      <c r="I9" s="31">
        <v>162.02000000000001</v>
      </c>
      <c r="J9" s="31">
        <v>102.63</v>
      </c>
      <c r="K9" s="31">
        <v>177.17</v>
      </c>
      <c r="L9" s="31">
        <v>228.36</v>
      </c>
      <c r="M9" s="31">
        <v>336.19</v>
      </c>
      <c r="N9" s="31">
        <v>381.86</v>
      </c>
      <c r="O9" s="76">
        <v>462.57</v>
      </c>
      <c r="P9" s="31">
        <f t="shared" ref="P9:P17" si="0">SUM(D9:O9)</f>
        <v>3872.3300000000008</v>
      </c>
      <c r="Q9" s="2"/>
      <c r="R9" s="34">
        <f t="shared" ref="R9:R12" si="1">O9/$O$11</f>
        <v>0.56808636062191442</v>
      </c>
      <c r="S9" s="34"/>
      <c r="T9" s="29"/>
      <c r="U9" s="29"/>
      <c r="V9" s="34"/>
      <c r="W9" s="36"/>
      <c r="X9" s="11"/>
      <c r="Y9" s="2"/>
      <c r="Z9" s="2"/>
    </row>
    <row r="10" spans="1:26" ht="12.75" customHeight="1" x14ac:dyDescent="0.25">
      <c r="A10" s="24">
        <v>2014</v>
      </c>
      <c r="B10" s="25" t="s">
        <v>31</v>
      </c>
      <c r="C10" s="30" t="s">
        <v>30</v>
      </c>
      <c r="D10" s="31">
        <v>483</v>
      </c>
      <c r="E10" s="31">
        <v>232.16</v>
      </c>
      <c r="F10" s="43">
        <v>330.48</v>
      </c>
      <c r="G10" s="31">
        <v>299.39</v>
      </c>
      <c r="H10" s="31">
        <v>286.68</v>
      </c>
      <c r="I10" s="31">
        <v>148.74</v>
      </c>
      <c r="J10" s="31">
        <v>114.51</v>
      </c>
      <c r="K10" s="31">
        <v>176.36</v>
      </c>
      <c r="L10" s="31">
        <v>194.72</v>
      </c>
      <c r="M10" s="31">
        <v>273.16000000000003</v>
      </c>
      <c r="N10" s="31">
        <v>324.14999999999998</v>
      </c>
      <c r="O10" s="43">
        <v>351.69</v>
      </c>
      <c r="P10" s="31">
        <f t="shared" si="0"/>
        <v>3215.0399999999995</v>
      </c>
      <c r="Q10" s="39"/>
      <c r="R10" s="34">
        <f t="shared" si="1"/>
        <v>0.43191363937808563</v>
      </c>
      <c r="S10" s="34"/>
      <c r="T10" s="29"/>
      <c r="U10" s="29"/>
      <c r="V10" s="34"/>
      <c r="W10" s="36"/>
      <c r="X10" s="11"/>
      <c r="Y10" s="2"/>
      <c r="Z10" s="2"/>
    </row>
    <row r="11" spans="1:26" ht="12.75" customHeight="1" x14ac:dyDescent="0.25">
      <c r="A11" s="24">
        <v>2014</v>
      </c>
      <c r="B11" s="25" t="s">
        <v>32</v>
      </c>
      <c r="C11" s="30" t="s">
        <v>30</v>
      </c>
      <c r="D11" s="31">
        <f t="shared" ref="D11:O11" si="2">SUM(D9:D10)</f>
        <v>1158</v>
      </c>
      <c r="E11" s="31">
        <f t="shared" si="2"/>
        <v>622.14</v>
      </c>
      <c r="F11" s="31">
        <f t="shared" si="2"/>
        <v>753.7</v>
      </c>
      <c r="G11" s="31">
        <f t="shared" si="2"/>
        <v>588.02</v>
      </c>
      <c r="H11" s="31">
        <f t="shared" si="2"/>
        <v>531.38</v>
      </c>
      <c r="I11" s="31">
        <f t="shared" si="2"/>
        <v>310.76</v>
      </c>
      <c r="J11" s="31">
        <f t="shared" si="2"/>
        <v>217.14</v>
      </c>
      <c r="K11" s="31">
        <f t="shared" si="2"/>
        <v>353.53</v>
      </c>
      <c r="L11" s="31">
        <f t="shared" si="2"/>
        <v>423.08000000000004</v>
      </c>
      <c r="M11" s="31">
        <f t="shared" si="2"/>
        <v>609.35</v>
      </c>
      <c r="N11" s="31">
        <f t="shared" si="2"/>
        <v>706.01</v>
      </c>
      <c r="O11" s="42">
        <f t="shared" si="2"/>
        <v>814.26</v>
      </c>
      <c r="P11" s="40">
        <f t="shared" si="0"/>
        <v>7087.3700000000008</v>
      </c>
      <c r="Q11" s="39"/>
      <c r="R11" s="34">
        <f t="shared" si="1"/>
        <v>1</v>
      </c>
      <c r="S11" s="34"/>
      <c r="T11" s="29"/>
      <c r="U11" s="29"/>
      <c r="V11" s="34"/>
      <c r="W11" s="36"/>
      <c r="X11" s="11"/>
      <c r="Y11" s="2"/>
      <c r="Z11" s="2"/>
    </row>
    <row r="12" spans="1:26" ht="12.75" customHeight="1" x14ac:dyDescent="0.25">
      <c r="A12" s="24">
        <v>2014</v>
      </c>
      <c r="B12" s="25" t="s">
        <v>33</v>
      </c>
      <c r="C12" s="30" t="s">
        <v>30</v>
      </c>
      <c r="D12" s="31">
        <f>(3989-3308)</f>
        <v>681</v>
      </c>
      <c r="E12" s="31">
        <v>316</v>
      </c>
      <c r="F12" s="31">
        <f>(4610-4305)</f>
        <v>305</v>
      </c>
      <c r="G12" s="31">
        <f>(4778-4610)</f>
        <v>168</v>
      </c>
      <c r="H12" s="31">
        <f>(4868-4778)+(4889-4873)</f>
        <v>106</v>
      </c>
      <c r="I12" s="31">
        <v>48.8</v>
      </c>
      <c r="J12" s="31">
        <f>11.23-3.475</f>
        <v>7.7550000000000008</v>
      </c>
      <c r="K12" s="31">
        <v>19</v>
      </c>
      <c r="L12" s="31">
        <v>64.5</v>
      </c>
      <c r="M12" s="31">
        <v>206</v>
      </c>
      <c r="N12" s="31">
        <f>(592-302)</f>
        <v>290</v>
      </c>
      <c r="O12" s="42">
        <f>(1009-592)</f>
        <v>417</v>
      </c>
      <c r="P12" s="31">
        <f t="shared" si="0"/>
        <v>2629.0550000000003</v>
      </c>
      <c r="Q12" s="39"/>
      <c r="R12" s="34">
        <f t="shared" si="1"/>
        <v>0.51212143541374988</v>
      </c>
      <c r="S12" s="34"/>
      <c r="T12" s="29"/>
      <c r="U12" s="29"/>
      <c r="V12" s="34"/>
      <c r="W12" s="36"/>
      <c r="X12" s="11">
        <f>P12+'2013'!X12</f>
        <v>9755.9907142857137</v>
      </c>
      <c r="Y12" s="2"/>
      <c r="Z12" s="2"/>
    </row>
    <row r="13" spans="1:26" ht="12.75" customHeight="1" x14ac:dyDescent="0.25">
      <c r="A13" s="24">
        <v>2014</v>
      </c>
      <c r="B13" s="41" t="s">
        <v>36</v>
      </c>
      <c r="C13" s="26" t="s">
        <v>209</v>
      </c>
      <c r="D13" s="31">
        <v>788</v>
      </c>
      <c r="E13" s="31">
        <v>485</v>
      </c>
      <c r="F13" s="42">
        <v>496</v>
      </c>
      <c r="G13" s="31">
        <v>350</v>
      </c>
      <c r="H13" s="42">
        <v>198</v>
      </c>
      <c r="I13" s="31">
        <v>51</v>
      </c>
      <c r="J13" s="31">
        <v>5</v>
      </c>
      <c r="K13" s="31">
        <v>23</v>
      </c>
      <c r="L13" s="31">
        <v>163</v>
      </c>
      <c r="M13" s="31">
        <v>381</v>
      </c>
      <c r="N13" s="31">
        <v>463</v>
      </c>
      <c r="O13" s="42">
        <v>590</v>
      </c>
      <c r="P13" s="31">
        <f t="shared" si="0"/>
        <v>3993</v>
      </c>
      <c r="Q13" s="36"/>
      <c r="R13" s="34"/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2014</v>
      </c>
      <c r="B14" s="41" t="s">
        <v>39</v>
      </c>
      <c r="C14" s="26" t="s">
        <v>210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2014</v>
      </c>
      <c r="B15" s="25" t="s">
        <v>41</v>
      </c>
      <c r="C15" s="30" t="s">
        <v>30</v>
      </c>
      <c r="D15" s="31">
        <v>152.5</v>
      </c>
      <c r="E15" s="31">
        <v>91.4</v>
      </c>
      <c r="F15" s="31">
        <v>149</v>
      </c>
      <c r="G15" s="31">
        <v>149</v>
      </c>
      <c r="H15" s="31">
        <v>161</v>
      </c>
      <c r="I15" s="31">
        <v>103</v>
      </c>
      <c r="J15" s="31">
        <v>79</v>
      </c>
      <c r="K15" s="31">
        <v>116</v>
      </c>
      <c r="L15" s="31">
        <v>126</v>
      </c>
      <c r="M15" s="31">
        <v>134</v>
      </c>
      <c r="N15" s="31">
        <v>122</v>
      </c>
      <c r="O15" s="42">
        <v>138</v>
      </c>
      <c r="P15" s="31">
        <f t="shared" si="0"/>
        <v>1520.9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2014</v>
      </c>
      <c r="B16" s="25" t="s">
        <v>42</v>
      </c>
      <c r="C16" s="30" t="s">
        <v>30</v>
      </c>
      <c r="D16" s="31">
        <f t="shared" ref="D16:O16" si="3">D12</f>
        <v>681</v>
      </c>
      <c r="E16" s="31">
        <f t="shared" si="3"/>
        <v>316</v>
      </c>
      <c r="F16" s="31">
        <f t="shared" si="3"/>
        <v>305</v>
      </c>
      <c r="G16" s="31">
        <f t="shared" si="3"/>
        <v>168</v>
      </c>
      <c r="H16" s="31">
        <f t="shared" si="3"/>
        <v>106</v>
      </c>
      <c r="I16" s="31">
        <f t="shared" si="3"/>
        <v>48.8</v>
      </c>
      <c r="J16" s="31">
        <f t="shared" si="3"/>
        <v>7.7550000000000008</v>
      </c>
      <c r="K16" s="31">
        <f t="shared" si="3"/>
        <v>19</v>
      </c>
      <c r="L16" s="31">
        <f t="shared" si="3"/>
        <v>64.5</v>
      </c>
      <c r="M16" s="31">
        <f t="shared" si="3"/>
        <v>206</v>
      </c>
      <c r="N16" s="31">
        <f t="shared" si="3"/>
        <v>290</v>
      </c>
      <c r="O16" s="31">
        <f t="shared" si="3"/>
        <v>417</v>
      </c>
      <c r="P16" s="31">
        <f t="shared" si="0"/>
        <v>2629.0550000000003</v>
      </c>
      <c r="Q16" s="2"/>
      <c r="R16" s="11">
        <f>P11-P15-P16</f>
        <v>2937.4150000000009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2014</v>
      </c>
      <c r="B17" s="25" t="s">
        <v>43</v>
      </c>
      <c r="C17" s="30" t="s">
        <v>30</v>
      </c>
      <c r="D17" s="31">
        <f t="shared" ref="D17:H17" si="4">IF(D16&lt;0,0,((D14/D13))*D16)</f>
        <v>615.31979695431471</v>
      </c>
      <c r="E17" s="31">
        <f t="shared" si="4"/>
        <v>432.62680412371134</v>
      </c>
      <c r="F17" s="31">
        <f t="shared" si="4"/>
        <v>367.72177419354836</v>
      </c>
      <c r="G17" s="31">
        <f t="shared" si="4"/>
        <v>185.76</v>
      </c>
      <c r="H17" s="31">
        <f t="shared" si="4"/>
        <v>83.515151515151516</v>
      </c>
      <c r="I17" s="46">
        <f t="shared" ref="I17:K17" si="5">I16</f>
        <v>48.8</v>
      </c>
      <c r="J17" s="46">
        <f t="shared" si="5"/>
        <v>7.7550000000000008</v>
      </c>
      <c r="K17" s="46">
        <f t="shared" si="5"/>
        <v>19</v>
      </c>
      <c r="L17" s="31">
        <f t="shared" ref="L17:O17" si="6">IF(L16&lt;0,0,((L14/L13))*L16)</f>
        <v>73.99693251533742</v>
      </c>
      <c r="M17" s="31">
        <f t="shared" si="6"/>
        <v>202.75590551181102</v>
      </c>
      <c r="N17" s="31">
        <f t="shared" si="6"/>
        <v>324.44924406047517</v>
      </c>
      <c r="O17" s="42">
        <f t="shared" si="6"/>
        <v>462.94067796610165</v>
      </c>
      <c r="P17" s="40">
        <f t="shared" si="0"/>
        <v>2824.6412868404514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37.354838709677416</v>
      </c>
      <c r="E20" s="4">
        <f t="shared" si="7"/>
        <v>22.219285714285714</v>
      </c>
      <c r="F20" s="4">
        <f t="shared" si="7"/>
        <v>24.312903225806455</v>
      </c>
      <c r="G20" s="4">
        <f t="shared" si="7"/>
        <v>19.600666666666665</v>
      </c>
      <c r="H20" s="4">
        <f t="shared" si="7"/>
        <v>17.141290322580645</v>
      </c>
      <c r="I20" s="4">
        <f t="shared" si="7"/>
        <v>10.358666666666666</v>
      </c>
      <c r="J20" s="4">
        <f t="shared" si="7"/>
        <v>7.0045161290322575</v>
      </c>
      <c r="K20" s="4">
        <f t="shared" si="7"/>
        <v>11.404193548387095</v>
      </c>
      <c r="L20" s="4">
        <f t="shared" si="7"/>
        <v>14.102666666666668</v>
      </c>
      <c r="M20" s="4">
        <f t="shared" si="7"/>
        <v>19.656451612903226</v>
      </c>
      <c r="N20" s="4">
        <f t="shared" si="7"/>
        <v>23.533666666666665</v>
      </c>
      <c r="O20" s="4">
        <f t="shared" si="7"/>
        <v>26.266451612903225</v>
      </c>
      <c r="P20" s="4">
        <f>P11/365</f>
        <v>19.417452054794524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8">SUM(D11)</f>
        <v>1158</v>
      </c>
      <c r="E21" s="4">
        <f t="shared" ref="E21:O21" si="9">SUM($D$11:E11)</f>
        <v>1780.1399999999999</v>
      </c>
      <c r="F21" s="4">
        <f t="shared" si="9"/>
        <v>2533.84</v>
      </c>
      <c r="G21" s="4">
        <f t="shared" si="9"/>
        <v>3121.86</v>
      </c>
      <c r="H21" s="4">
        <f t="shared" si="9"/>
        <v>3653.2400000000002</v>
      </c>
      <c r="I21" s="4">
        <f t="shared" si="9"/>
        <v>3964</v>
      </c>
      <c r="J21" s="4">
        <f t="shared" si="9"/>
        <v>4181.1400000000003</v>
      </c>
      <c r="K21" s="4">
        <f t="shared" si="9"/>
        <v>4534.67</v>
      </c>
      <c r="L21" s="4">
        <f t="shared" si="9"/>
        <v>4957.75</v>
      </c>
      <c r="M21" s="4">
        <f t="shared" si="9"/>
        <v>5567.1</v>
      </c>
      <c r="N21" s="4">
        <f t="shared" si="9"/>
        <v>6273.1100000000006</v>
      </c>
      <c r="O21" s="4">
        <f t="shared" si="9"/>
        <v>7087.3700000000008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8"/>
        <v>681</v>
      </c>
      <c r="E22" s="4">
        <f t="shared" ref="E22:O22" si="10">SUM($D$12:E12)</f>
        <v>997</v>
      </c>
      <c r="F22" s="4">
        <f t="shared" si="10"/>
        <v>1302</v>
      </c>
      <c r="G22" s="4">
        <f t="shared" si="10"/>
        <v>1470</v>
      </c>
      <c r="H22" s="4">
        <f t="shared" si="10"/>
        <v>1576</v>
      </c>
      <c r="I22" s="4">
        <f t="shared" si="10"/>
        <v>1624.8</v>
      </c>
      <c r="J22" s="4">
        <f t="shared" si="10"/>
        <v>1632.5550000000001</v>
      </c>
      <c r="K22" s="4">
        <f t="shared" si="10"/>
        <v>1651.5550000000001</v>
      </c>
      <c r="L22" s="4">
        <f t="shared" si="10"/>
        <v>1716.0550000000001</v>
      </c>
      <c r="M22" s="4">
        <f t="shared" si="10"/>
        <v>1922.0550000000001</v>
      </c>
      <c r="N22" s="4">
        <f t="shared" si="10"/>
        <v>2212.0550000000003</v>
      </c>
      <c r="O22" s="4">
        <f t="shared" si="10"/>
        <v>2629.0550000000003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681</v>
      </c>
      <c r="E23" s="4">
        <f t="shared" ref="E23:O23" si="11">SUM($D$16:E16)</f>
        <v>997</v>
      </c>
      <c r="F23" s="4">
        <f t="shared" si="11"/>
        <v>1302</v>
      </c>
      <c r="G23" s="4">
        <f t="shared" si="11"/>
        <v>1470</v>
      </c>
      <c r="H23" s="4">
        <f t="shared" si="11"/>
        <v>1576</v>
      </c>
      <c r="I23" s="4">
        <f t="shared" si="11"/>
        <v>1624.8</v>
      </c>
      <c r="J23" s="4">
        <f t="shared" si="11"/>
        <v>1632.5550000000001</v>
      </c>
      <c r="K23" s="4">
        <f t="shared" si="11"/>
        <v>1651.5550000000001</v>
      </c>
      <c r="L23" s="4">
        <f t="shared" si="11"/>
        <v>1716.0550000000001</v>
      </c>
      <c r="M23" s="4">
        <f t="shared" si="11"/>
        <v>1922.0550000000001</v>
      </c>
      <c r="N23" s="4">
        <f t="shared" si="11"/>
        <v>2212.0550000000003</v>
      </c>
      <c r="O23" s="4">
        <f t="shared" si="11"/>
        <v>2629.0550000000003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2">(D11-D12-D15)/D7</f>
        <v>10.46774193548387</v>
      </c>
      <c r="E24" s="4">
        <f t="shared" si="12"/>
        <v>7.6692857142857136</v>
      </c>
      <c r="F24" s="4">
        <f t="shared" si="12"/>
        <v>9.667741935483873</v>
      </c>
      <c r="G24" s="4">
        <f t="shared" si="12"/>
        <v>9.0339999999999989</v>
      </c>
      <c r="H24" s="4">
        <f t="shared" si="12"/>
        <v>8.5283870967741926</v>
      </c>
      <c r="I24" s="4">
        <f t="shared" si="12"/>
        <v>5.2986666666666657</v>
      </c>
      <c r="J24" s="4">
        <f t="shared" si="12"/>
        <v>4.205967741935484</v>
      </c>
      <c r="K24" s="4">
        <f t="shared" si="12"/>
        <v>7.0493548387096769</v>
      </c>
      <c r="L24" s="4">
        <f t="shared" si="12"/>
        <v>7.7526666666666681</v>
      </c>
      <c r="M24" s="4">
        <f t="shared" si="12"/>
        <v>8.6887096774193555</v>
      </c>
      <c r="N24" s="4">
        <f t="shared" si="12"/>
        <v>9.8003333333333327</v>
      </c>
      <c r="O24" s="4">
        <f t="shared" si="12"/>
        <v>8.363225806451613</v>
      </c>
      <c r="P24" s="4">
        <f t="shared" si="12"/>
        <v>8.0477123287671244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D21+'2013'!$P$11-'2013'!D21</f>
        <v>7414.9500000000007</v>
      </c>
      <c r="E25" s="10">
        <f>E21+'2013'!$P$11-'2013'!E21</f>
        <v>7273.09</v>
      </c>
      <c r="F25" s="10">
        <f>F21+'2013'!$P$11-'2013'!F21</f>
        <v>7068.7900000000009</v>
      </c>
      <c r="G25" s="10">
        <f>G21+'2013'!$P$11-'2013'!G21</f>
        <v>6957.8099999999995</v>
      </c>
      <c r="H25" s="10">
        <f>H21+'2013'!$P$11-'2013'!H21</f>
        <v>7112.1900000000005</v>
      </c>
      <c r="I25" s="10">
        <f>I21+'2013'!$P$11-'2013'!I21</f>
        <v>7102.9500000000007</v>
      </c>
      <c r="J25" s="10">
        <f>J21+'2013'!$P$11-'2013'!J21</f>
        <v>7073.09</v>
      </c>
      <c r="K25" s="10">
        <f>K21+'2013'!$P$11-'2013'!K21</f>
        <v>7083.619999999999</v>
      </c>
      <c r="L25" s="10">
        <f>L21+'2013'!$P$11-'2013'!L21</f>
        <v>7046.7000000000007</v>
      </c>
      <c r="M25" s="10">
        <f>M21+'2013'!$P$11-'2013'!M21</f>
        <v>7062.2099999999991</v>
      </c>
      <c r="N25" s="10">
        <f>N21+'2013'!$P$11-'2013'!N21</f>
        <v>7064.1100000000015</v>
      </c>
      <c r="O25" s="10">
        <f>O21+'2013'!$P$11-'2013'!O21</f>
        <v>7087.37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3">D16/D11</f>
        <v>0.58808290155440412</v>
      </c>
      <c r="E27" s="73">
        <f t="shared" si="13"/>
        <v>0.50792426142025915</v>
      </c>
      <c r="F27" s="73">
        <f t="shared" si="13"/>
        <v>0.40467029322011405</v>
      </c>
      <c r="G27" s="73">
        <f t="shared" si="13"/>
        <v>0.28570456787184112</v>
      </c>
      <c r="H27" s="73">
        <f t="shared" si="13"/>
        <v>0.19948059768903609</v>
      </c>
      <c r="I27" s="73">
        <f t="shared" si="13"/>
        <v>0.15703436735744625</v>
      </c>
      <c r="J27" s="73">
        <f t="shared" si="13"/>
        <v>3.5714285714285719E-2</v>
      </c>
      <c r="K27" s="73">
        <f t="shared" si="13"/>
        <v>5.3743670975589061E-2</v>
      </c>
      <c r="L27" s="73">
        <f t="shared" si="13"/>
        <v>0.15245343670227851</v>
      </c>
      <c r="M27" s="73">
        <f t="shared" si="13"/>
        <v>0.33806515139082627</v>
      </c>
      <c r="N27" s="73">
        <f t="shared" si="13"/>
        <v>0.41075905440432858</v>
      </c>
      <c r="O27" s="73">
        <f t="shared" si="13"/>
        <v>0.51212143541374988</v>
      </c>
      <c r="P27" s="73">
        <f t="shared" si="13"/>
        <v>0.37094930841765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211</v>
      </c>
      <c r="D28" s="4">
        <f t="shared" ref="D28:H28" si="14">D16/D13</f>
        <v>0.8642131979695431</v>
      </c>
      <c r="E28" s="4">
        <f t="shared" si="14"/>
        <v>0.65154639175257734</v>
      </c>
      <c r="F28" s="4">
        <f t="shared" si="14"/>
        <v>0.61491935483870963</v>
      </c>
      <c r="G28" s="4">
        <f t="shared" si="14"/>
        <v>0.48</v>
      </c>
      <c r="H28" s="4">
        <f t="shared" si="14"/>
        <v>0.53535353535353536</v>
      </c>
      <c r="I28" s="52"/>
      <c r="J28" s="52"/>
      <c r="K28" s="52"/>
      <c r="L28" s="4">
        <f t="shared" ref="L28:P28" si="15">L16/L13</f>
        <v>0.39570552147239263</v>
      </c>
      <c r="M28" s="4">
        <f t="shared" si="15"/>
        <v>0.54068241469816269</v>
      </c>
      <c r="N28" s="4">
        <f t="shared" si="15"/>
        <v>0.62634989200863933</v>
      </c>
      <c r="O28" s="4">
        <f t="shared" si="15"/>
        <v>0.70677966101694911</v>
      </c>
      <c r="P28" s="4">
        <f t="shared" si="15"/>
        <v>0.65841597796143259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6">D16/D7</f>
        <v>21.967741935483872</v>
      </c>
      <c r="E29" s="4">
        <f t="shared" si="16"/>
        <v>11.285714285714286</v>
      </c>
      <c r="F29" s="4">
        <f t="shared" si="16"/>
        <v>9.8387096774193541</v>
      </c>
      <c r="G29" s="4">
        <f t="shared" si="16"/>
        <v>5.6</v>
      </c>
      <c r="H29" s="4">
        <f t="shared" si="16"/>
        <v>3.4193548387096775</v>
      </c>
      <c r="I29" s="4">
        <f t="shared" si="16"/>
        <v>1.6266666666666665</v>
      </c>
      <c r="J29" s="4">
        <f t="shared" si="16"/>
        <v>0.25016129032258067</v>
      </c>
      <c r="K29" s="4">
        <f t="shared" si="16"/>
        <v>0.61290322580645162</v>
      </c>
      <c r="L29" s="4">
        <f t="shared" si="16"/>
        <v>2.15</v>
      </c>
      <c r="M29" s="4">
        <f t="shared" si="16"/>
        <v>6.645161290322581</v>
      </c>
      <c r="N29" s="4">
        <f t="shared" si="16"/>
        <v>9.6666666666666661</v>
      </c>
      <c r="O29" s="4">
        <f t="shared" si="16"/>
        <v>13.451612903225806</v>
      </c>
      <c r="P29" s="4">
        <f t="shared" si="16"/>
        <v>7.2028904109589051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7">D17/D7</f>
        <v>19.849025708203701</v>
      </c>
      <c r="E30" s="4">
        <f t="shared" si="17"/>
        <v>15.450957290132548</v>
      </c>
      <c r="F30" s="4">
        <f t="shared" si="17"/>
        <v>11.861992715920914</v>
      </c>
      <c r="G30" s="4">
        <f t="shared" si="17"/>
        <v>6.1919999999999993</v>
      </c>
      <c r="H30" s="4">
        <f t="shared" si="17"/>
        <v>2.6940371456500487</v>
      </c>
      <c r="I30" s="4">
        <f t="shared" si="17"/>
        <v>1.6266666666666665</v>
      </c>
      <c r="J30" s="4">
        <f t="shared" si="17"/>
        <v>0.25016129032258067</v>
      </c>
      <c r="K30" s="4">
        <f t="shared" si="17"/>
        <v>0.61290322580645162</v>
      </c>
      <c r="L30" s="4">
        <f t="shared" si="17"/>
        <v>2.466564417177914</v>
      </c>
      <c r="M30" s="4">
        <f t="shared" si="17"/>
        <v>6.5405130810261616</v>
      </c>
      <c r="N30" s="4">
        <f t="shared" si="17"/>
        <v>10.814974802015838</v>
      </c>
      <c r="O30" s="4">
        <f t="shared" si="17"/>
        <v>14.93357025697102</v>
      </c>
      <c r="P30" s="4">
        <f t="shared" si="17"/>
        <v>7.7387432516176746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212</v>
      </c>
      <c r="D31" s="4">
        <f t="shared" ref="D31:P31" si="18">D16/$F$4</f>
        <v>2.8149801587301586</v>
      </c>
      <c r="E31" s="4">
        <f t="shared" si="18"/>
        <v>1.3062169312169312</v>
      </c>
      <c r="F31" s="4">
        <f t="shared" si="18"/>
        <v>1.2607473544973544</v>
      </c>
      <c r="G31" s="4">
        <f t="shared" si="18"/>
        <v>0.69444444444444442</v>
      </c>
      <c r="H31" s="4">
        <f t="shared" si="18"/>
        <v>0.43816137566137564</v>
      </c>
      <c r="I31" s="4">
        <f t="shared" si="18"/>
        <v>0.20171957671957669</v>
      </c>
      <c r="J31" s="4">
        <f t="shared" si="18"/>
        <v>3.2056051587301591E-2</v>
      </c>
      <c r="K31" s="4">
        <f t="shared" si="18"/>
        <v>7.8538359788359782E-2</v>
      </c>
      <c r="L31" s="4">
        <f t="shared" si="18"/>
        <v>0.26661706349206349</v>
      </c>
      <c r="M31" s="4">
        <f t="shared" si="18"/>
        <v>0.85152116402116396</v>
      </c>
      <c r="N31" s="4">
        <f t="shared" si="18"/>
        <v>1.1987433862433861</v>
      </c>
      <c r="O31" s="4">
        <f t="shared" si="18"/>
        <v>1.7237103174603174</v>
      </c>
      <c r="P31" s="4">
        <f t="shared" si="18"/>
        <v>10.867456183862434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213</v>
      </c>
      <c r="D32" s="4">
        <f t="shared" ref="D32:P32" si="19">D16/$F$3</f>
        <v>7.09375</v>
      </c>
      <c r="E32" s="4">
        <f t="shared" si="19"/>
        <v>3.2916666666666665</v>
      </c>
      <c r="F32" s="4">
        <f t="shared" si="19"/>
        <v>3.1770833333333335</v>
      </c>
      <c r="G32" s="4">
        <f t="shared" si="19"/>
        <v>1.75</v>
      </c>
      <c r="H32" s="4">
        <f t="shared" si="19"/>
        <v>1.1041666666666667</v>
      </c>
      <c r="I32" s="4">
        <f t="shared" si="19"/>
        <v>0.5083333333333333</v>
      </c>
      <c r="J32" s="4">
        <f t="shared" si="19"/>
        <v>8.0781250000000013E-2</v>
      </c>
      <c r="K32" s="4">
        <f t="shared" si="19"/>
        <v>0.19791666666666666</v>
      </c>
      <c r="L32" s="4">
        <f t="shared" si="19"/>
        <v>0.671875</v>
      </c>
      <c r="M32" s="4">
        <f t="shared" si="19"/>
        <v>2.1458333333333335</v>
      </c>
      <c r="N32" s="4">
        <f t="shared" si="19"/>
        <v>3.0208333333333335</v>
      </c>
      <c r="O32" s="4">
        <f t="shared" si="19"/>
        <v>4.34375</v>
      </c>
      <c r="P32" s="4">
        <f t="shared" si="19"/>
        <v>27.385989583333338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214</v>
      </c>
      <c r="D33" s="4">
        <f t="shared" ref="D33:P33" si="20">D17/$F$4</f>
        <v>2.5434846104262347</v>
      </c>
      <c r="E33" s="4">
        <f t="shared" si="20"/>
        <v>1.7883052419134893</v>
      </c>
      <c r="F33" s="4">
        <f t="shared" si="20"/>
        <v>1.5200139475593102</v>
      </c>
      <c r="G33" s="4">
        <f t="shared" si="20"/>
        <v>0.76785714285714279</v>
      </c>
      <c r="H33" s="4">
        <f t="shared" si="20"/>
        <v>0.34521805355138685</v>
      </c>
      <c r="I33" s="4">
        <f t="shared" si="20"/>
        <v>0.20171957671957669</v>
      </c>
      <c r="J33" s="4">
        <f t="shared" si="20"/>
        <v>3.2056051587301591E-2</v>
      </c>
      <c r="K33" s="4">
        <f t="shared" si="20"/>
        <v>7.8538359788359782E-2</v>
      </c>
      <c r="L33" s="4">
        <f t="shared" si="20"/>
        <v>0.30587356363813417</v>
      </c>
      <c r="M33" s="4">
        <f t="shared" si="20"/>
        <v>0.83811138191059442</v>
      </c>
      <c r="N33" s="4">
        <f t="shared" si="20"/>
        <v>1.3411427085833132</v>
      </c>
      <c r="O33" s="4">
        <f t="shared" si="20"/>
        <v>1.9136106066720471</v>
      </c>
      <c r="P33" s="4">
        <f t="shared" si="20"/>
        <v>11.675931245206892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215</v>
      </c>
      <c r="D34" s="4">
        <f t="shared" ref="D34:P34" si="21">D17/$F$3</f>
        <v>6.4095812182741119</v>
      </c>
      <c r="E34" s="4">
        <f t="shared" si="21"/>
        <v>4.5065292096219931</v>
      </c>
      <c r="F34" s="4">
        <f t="shared" si="21"/>
        <v>3.830435147849462</v>
      </c>
      <c r="G34" s="4">
        <f t="shared" si="21"/>
        <v>1.9349999999999998</v>
      </c>
      <c r="H34" s="4">
        <f t="shared" si="21"/>
        <v>0.86994949494949492</v>
      </c>
      <c r="I34" s="4">
        <f t="shared" si="21"/>
        <v>0.5083333333333333</v>
      </c>
      <c r="J34" s="4">
        <f t="shared" si="21"/>
        <v>8.0781250000000013E-2</v>
      </c>
      <c r="K34" s="4">
        <f t="shared" si="21"/>
        <v>0.19791666666666666</v>
      </c>
      <c r="L34" s="4">
        <f t="shared" si="21"/>
        <v>0.77080138036809809</v>
      </c>
      <c r="M34" s="4">
        <f t="shared" si="21"/>
        <v>2.112040682414698</v>
      </c>
      <c r="N34" s="4">
        <f t="shared" si="21"/>
        <v>3.3796796256299495</v>
      </c>
      <c r="O34" s="4">
        <f t="shared" si="21"/>
        <v>4.8222987288135588</v>
      </c>
      <c r="P34" s="4">
        <f t="shared" si="21"/>
        <v>29.423346737921367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216</v>
      </c>
      <c r="D35" s="4">
        <f t="shared" ref="D35:H35" si="22">1000*D31/D13</f>
        <v>3.5723098461042619</v>
      </c>
      <c r="E35" s="4">
        <f t="shared" si="22"/>
        <v>2.6932307860142912</v>
      </c>
      <c r="F35" s="4">
        <f t="shared" si="22"/>
        <v>2.5418293437446664</v>
      </c>
      <c r="G35" s="4">
        <f t="shared" si="22"/>
        <v>1.9841269841269842</v>
      </c>
      <c r="H35" s="4">
        <f t="shared" si="22"/>
        <v>2.2129362407140185</v>
      </c>
      <c r="I35" s="52"/>
      <c r="J35" s="52"/>
      <c r="K35" s="52"/>
      <c r="L35" s="4">
        <f t="shared" ref="L35:P35" si="23">1000*L31/L13</f>
        <v>1.635687506086279</v>
      </c>
      <c r="M35" s="4">
        <f t="shared" si="23"/>
        <v>2.2349636850949186</v>
      </c>
      <c r="N35" s="4">
        <f t="shared" si="23"/>
        <v>2.589078587998674</v>
      </c>
      <c r="O35" s="4">
        <f t="shared" si="23"/>
        <v>2.9215429109496904</v>
      </c>
      <c r="P35" s="4">
        <f t="shared" si="23"/>
        <v>2.7216268930284082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2500</v>
      </c>
      <c r="E39" s="8" t="s">
        <v>30</v>
      </c>
      <c r="F39" s="4"/>
      <c r="G39" s="8" t="s">
        <v>65</v>
      </c>
      <c r="H39" s="4"/>
      <c r="I39" s="4"/>
      <c r="J39" s="4"/>
      <c r="K39" s="4">
        <v>7000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1550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4500</v>
      </c>
      <c r="L40" s="8" t="s">
        <v>30</v>
      </c>
      <c r="M40" s="4"/>
      <c r="N40" s="10">
        <f>SUM(D40:D41,K39)</f>
        <v>11835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0.6428571428571429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7335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0.38022813688212925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29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5.38</v>
      </c>
      <c r="E46" s="4">
        <v>4.59</v>
      </c>
      <c r="F46" s="4">
        <v>4.16</v>
      </c>
      <c r="G46" s="4">
        <v>4.12</v>
      </c>
      <c r="H46" s="4">
        <v>4.57</v>
      </c>
      <c r="I46" s="4">
        <v>4.62</v>
      </c>
      <c r="J46" s="4">
        <v>4.7699999999999996</v>
      </c>
      <c r="K46" s="4">
        <v>4.96</v>
      </c>
      <c r="L46" s="4">
        <v>4.96</v>
      </c>
      <c r="M46" s="4">
        <v>4.79</v>
      </c>
      <c r="N46" s="4">
        <v>4.58</v>
      </c>
      <c r="O46" s="4">
        <v>5.13</v>
      </c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3">
      <c r="A48" s="2"/>
      <c r="B48" s="65" t="s">
        <v>74</v>
      </c>
      <c r="C48" s="65" t="s">
        <v>75</v>
      </c>
      <c r="D48" s="39">
        <f>(SUMPRODUCT($D$46:D46,$D$11:D11)+SUMPRODUCT('2013'!E$46:$O46,'2013'!E$11:$O11))/(D21+SUM('2013'!E$11:$O11))</f>
        <v>5.4007515762075275</v>
      </c>
      <c r="E48" s="39">
        <f>(SUMPRODUCT($D$46:E46,$D$11:E11)+SUMPRODUCT('2013'!F$46:$O46,'2013'!F$11:$O11))/(E21+SUM('2013'!F$11:$O11))</f>
        <v>5.3587904865744829</v>
      </c>
      <c r="F48" s="39">
        <f>(SUMPRODUCT($D$46:F46,$D$11:F11)+SUMPRODUCT('2013'!G$46:$O46,'2013'!G$11:$O11))/(F21+SUM('2013'!G$11:$O11))</f>
        <v>5.1657550302102608</v>
      </c>
      <c r="G48" s="39">
        <f>(SUMPRODUCT($D$46:G46,$D$11:G11)+SUMPRODUCT('2013'!H$46:$O46,'2013'!H$11:$O11))/(G21+SUM('2013'!H$11:$O11))</f>
        <v>5.0247089098437572</v>
      </c>
      <c r="H48" s="39">
        <f>(SUMPRODUCT($D$46:H46,$D$11:H11)+SUMPRODUCT('2013'!I$46:$O46,'2013'!I$11:$O11))/(H21+SUM('2013'!I$11:$O11))</f>
        <v>4.9989365441586919</v>
      </c>
      <c r="I48" s="39">
        <f>(SUMPRODUCT($D$46:I46,$D$11:I11)+SUMPRODUCT('2013'!J$46:$O46,'2013'!J$11:$O11))/(I21+SUM('2013'!J$11:$O11))</f>
        <v>4.9814088090159725</v>
      </c>
      <c r="J48" s="39">
        <f>(SUMPRODUCT($D$46:J46,$D$11:J11)+SUMPRODUCT('2013'!K$46:$O46,'2013'!K$11:$O11))/(J21+SUM('2013'!K$11:$O11))</f>
        <v>4.9795076126558548</v>
      </c>
      <c r="K48" s="39">
        <f>(SUMPRODUCT($D$46:K46,$D$11:K11)+SUMPRODUCT('2013'!L$46:$O46,'2013'!L$11:$O11))/(K21+SUM('2013'!L$11:$O11))</f>
        <v>4.9523625349750544</v>
      </c>
      <c r="L48" s="39">
        <f>(SUMPRODUCT($D$46:L46,$D$11:L11)+SUMPRODUCT('2013'!M$46:$O46,'2013'!M$11:$O11))/(L21+SUM('2013'!M$11:$O11))</f>
        <v>4.8609322235940242</v>
      </c>
      <c r="M48" s="39">
        <f>(SUMPRODUCT($D$46:M46,$D$11:M11)+SUMPRODUCT('2013'!N$46:$O46,'2013'!N$11:$O11))/(M21+SUM('2013'!N$11:$O11))</f>
        <v>4.7640764010132806</v>
      </c>
      <c r="N48" s="39">
        <f>(SUMPRODUCT($D$46:N46,$D$11:N11)+SUMPRODUCT('2013'!O$46:$O46,'2013'!O$11:$O11))/(N21+SUM('2013'!O$11:$O11))</f>
        <v>4.7191734698355488</v>
      </c>
      <c r="O48" s="18">
        <f>(SUMPRODUCT($D$46:O46,$D$11:O11))/(O21)</f>
        <v>4.7584681341597799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 xr:uid="{00000000-0004-0000-0F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5" t="s">
        <v>193</v>
      </c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>
        <f>366*12</f>
        <v>4392</v>
      </c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217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(SUM(I11:K11)/92)</f>
        <v>9.8913043478260878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218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2013</v>
      </c>
      <c r="B8" s="25" t="s">
        <v>27</v>
      </c>
      <c r="C8" s="26" t="s">
        <v>220</v>
      </c>
      <c r="D8" s="27">
        <v>-6.4</v>
      </c>
      <c r="E8" s="27">
        <v>-3.3</v>
      </c>
      <c r="F8" s="27">
        <v>-7.2</v>
      </c>
      <c r="G8" s="27">
        <v>1.9</v>
      </c>
      <c r="H8" s="27">
        <v>12.7</v>
      </c>
      <c r="I8" s="27">
        <v>16</v>
      </c>
      <c r="J8" s="27">
        <v>16</v>
      </c>
      <c r="K8" s="27">
        <v>16.8</v>
      </c>
      <c r="L8" s="27">
        <v>11</v>
      </c>
      <c r="M8" s="27">
        <v>5.9</v>
      </c>
      <c r="N8" s="27">
        <v>2.6</v>
      </c>
      <c r="O8" s="28">
        <v>0.7</v>
      </c>
      <c r="P8" s="27">
        <f>AVERAGE(D8:O8)</f>
        <v>5.5583333333333336</v>
      </c>
      <c r="Q8" s="2"/>
      <c r="R8" s="2"/>
      <c r="S8" s="2"/>
      <c r="T8" s="29">
        <f>AVERAGE(D8:N8,'2012'!O8)</f>
        <v>4.8250000000000002</v>
      </c>
      <c r="U8" s="2"/>
      <c r="V8" s="2"/>
      <c r="W8" s="2"/>
      <c r="X8" s="2"/>
      <c r="Y8" s="2"/>
      <c r="Z8" s="2"/>
    </row>
    <row r="9" spans="1:26" ht="12.75" customHeight="1" x14ac:dyDescent="0.25">
      <c r="A9" s="24">
        <v>2013</v>
      </c>
      <c r="B9" s="25" t="s">
        <v>29</v>
      </c>
      <c r="C9" s="30" t="s">
        <v>30</v>
      </c>
      <c r="D9" s="31">
        <v>661</v>
      </c>
      <c r="E9" s="31">
        <v>454</v>
      </c>
      <c r="F9" s="31">
        <v>533</v>
      </c>
      <c r="G9" s="31">
        <v>368</v>
      </c>
      <c r="H9" s="31">
        <v>187</v>
      </c>
      <c r="I9" s="31">
        <v>145</v>
      </c>
      <c r="J9" s="31">
        <v>132</v>
      </c>
      <c r="K9" s="31">
        <f>0.55*K11</f>
        <v>188.65</v>
      </c>
      <c r="L9" s="31">
        <v>370</v>
      </c>
      <c r="M9" s="31">
        <v>325.91000000000003</v>
      </c>
      <c r="N9" s="31">
        <v>393.35</v>
      </c>
      <c r="O9" s="42">
        <v>460</v>
      </c>
      <c r="P9" s="31">
        <f t="shared" ref="P9:P17" si="0">SUM(D9:O9)</f>
        <v>4217.91</v>
      </c>
      <c r="Q9" s="2"/>
      <c r="R9" s="34">
        <f t="shared" ref="R9:R12" si="1">O9/$O$11</f>
        <v>0.58154235145385591</v>
      </c>
      <c r="S9" s="34"/>
      <c r="T9" s="29">
        <f>P9+SUM('2012'!O9)</f>
        <v>4926.91</v>
      </c>
      <c r="U9" s="29"/>
      <c r="V9" s="34">
        <f t="shared" ref="V9:V12" si="2">P9/$P$11</f>
        <v>0.57122678241320701</v>
      </c>
      <c r="W9" s="36"/>
      <c r="X9" s="11">
        <f>SUM(D9:F9,'2011'!N9:O9)</f>
        <v>2465</v>
      </c>
      <c r="Y9" s="2"/>
      <c r="Z9" s="2"/>
    </row>
    <row r="10" spans="1:26" ht="12.75" customHeight="1" x14ac:dyDescent="0.25">
      <c r="A10" s="24">
        <v>2013</v>
      </c>
      <c r="B10" s="25" t="s">
        <v>31</v>
      </c>
      <c r="C10" s="30" t="s">
        <v>30</v>
      </c>
      <c r="D10" s="31">
        <v>466</v>
      </c>
      <c r="E10" s="31">
        <v>310</v>
      </c>
      <c r="F10" s="31">
        <v>425</v>
      </c>
      <c r="G10" s="31">
        <v>331</v>
      </c>
      <c r="H10" s="31">
        <v>190</v>
      </c>
      <c r="I10" s="31">
        <v>175</v>
      </c>
      <c r="J10" s="31">
        <v>115</v>
      </c>
      <c r="K10" s="31">
        <f>K11-K9</f>
        <v>154.35</v>
      </c>
      <c r="L10" s="31">
        <v>90</v>
      </c>
      <c r="M10" s="31">
        <v>267.93</v>
      </c>
      <c r="N10" s="31">
        <v>310.76</v>
      </c>
      <c r="O10" s="42">
        <v>331</v>
      </c>
      <c r="P10" s="31">
        <f t="shared" si="0"/>
        <v>3166.04</v>
      </c>
      <c r="Q10" s="39"/>
      <c r="R10" s="34">
        <f t="shared" si="1"/>
        <v>0.41845764854614415</v>
      </c>
      <c r="S10" s="34"/>
      <c r="T10" s="29">
        <f>P10+SUM('2012'!O10)</f>
        <v>3650.04</v>
      </c>
      <c r="U10" s="29"/>
      <c r="V10" s="34">
        <f t="shared" si="2"/>
        <v>0.42877321758679299</v>
      </c>
      <c r="W10" s="36"/>
      <c r="X10" s="11">
        <f>T11-X9</f>
        <v>6111.9500000000007</v>
      </c>
      <c r="Y10" s="2"/>
      <c r="Z10" s="2"/>
    </row>
    <row r="11" spans="1:26" ht="12.75" customHeight="1" x14ac:dyDescent="0.25">
      <c r="A11" s="24">
        <v>2013</v>
      </c>
      <c r="B11" s="25" t="s">
        <v>32</v>
      </c>
      <c r="C11" s="30" t="s">
        <v>30</v>
      </c>
      <c r="D11" s="31">
        <f t="shared" ref="D11:J11" si="3">SUM(D9:D10)</f>
        <v>1127</v>
      </c>
      <c r="E11" s="31">
        <f t="shared" si="3"/>
        <v>764</v>
      </c>
      <c r="F11" s="31">
        <f t="shared" si="3"/>
        <v>958</v>
      </c>
      <c r="G11" s="31">
        <f t="shared" si="3"/>
        <v>699</v>
      </c>
      <c r="H11" s="31">
        <f t="shared" si="3"/>
        <v>377</v>
      </c>
      <c r="I11" s="31">
        <f t="shared" si="3"/>
        <v>320</v>
      </c>
      <c r="J11" s="31">
        <f t="shared" si="3"/>
        <v>247</v>
      </c>
      <c r="K11" s="31">
        <v>343</v>
      </c>
      <c r="L11" s="31">
        <f t="shared" ref="L11:O11" si="4">SUM(L9:L10)</f>
        <v>460</v>
      </c>
      <c r="M11" s="31">
        <f t="shared" si="4"/>
        <v>593.84</v>
      </c>
      <c r="N11" s="31">
        <f t="shared" si="4"/>
        <v>704.11</v>
      </c>
      <c r="O11" s="42">
        <f t="shared" si="4"/>
        <v>791</v>
      </c>
      <c r="P11" s="40">
        <f t="shared" si="0"/>
        <v>7383.95</v>
      </c>
      <c r="Q11" s="39"/>
      <c r="R11" s="34">
        <f t="shared" si="1"/>
        <v>1</v>
      </c>
      <c r="S11" s="34"/>
      <c r="T11" s="29">
        <f>P11+SUM('2012'!O11)</f>
        <v>8576.9500000000007</v>
      </c>
      <c r="U11" s="29"/>
      <c r="V11" s="34">
        <f t="shared" si="2"/>
        <v>1</v>
      </c>
      <c r="W11" s="36"/>
      <c r="X11" s="11">
        <f>X9+X10</f>
        <v>8576.9500000000007</v>
      </c>
      <c r="Y11" s="2"/>
      <c r="Z11" s="2"/>
    </row>
    <row r="12" spans="1:26" ht="12.75" customHeight="1" x14ac:dyDescent="0.25">
      <c r="A12" s="24">
        <v>2013</v>
      </c>
      <c r="B12" s="25" t="s">
        <v>33</v>
      </c>
      <c r="C12" s="30" t="s">
        <v>30</v>
      </c>
      <c r="D12" s="31">
        <v>596.6</v>
      </c>
      <c r="E12" s="31">
        <v>388.5</v>
      </c>
      <c r="F12" s="31">
        <v>497</v>
      </c>
      <c r="G12" s="31">
        <v>259</v>
      </c>
      <c r="H12" s="31">
        <v>62.1</v>
      </c>
      <c r="I12" s="31">
        <v>13</v>
      </c>
      <c r="J12" s="79">
        <v>2.6</v>
      </c>
      <c r="K12" s="31">
        <v>5.8</v>
      </c>
      <c r="L12" s="31">
        <v>87</v>
      </c>
      <c r="M12" s="31">
        <v>180</v>
      </c>
      <c r="N12" s="31">
        <v>258.89999999999998</v>
      </c>
      <c r="O12" s="42">
        <v>323.10000000000002</v>
      </c>
      <c r="P12" s="31">
        <f t="shared" si="0"/>
        <v>2673.5999999999995</v>
      </c>
      <c r="Q12" s="39"/>
      <c r="R12" s="34">
        <f t="shared" si="1"/>
        <v>0.40847029077117575</v>
      </c>
      <c r="S12" s="34"/>
      <c r="T12" s="29">
        <f>P12+SUM('2012'!O12)</f>
        <v>3330.5999999999995</v>
      </c>
      <c r="U12" s="29"/>
      <c r="V12" s="34">
        <f t="shared" si="2"/>
        <v>0.36208262515320383</v>
      </c>
      <c r="W12" s="36"/>
      <c r="X12" s="11">
        <f>P12+'2012'!X12</f>
        <v>7126.9357142857134</v>
      </c>
      <c r="Y12" s="2"/>
      <c r="Z12" s="2"/>
    </row>
    <row r="13" spans="1:26" ht="12.75" customHeight="1" x14ac:dyDescent="0.25">
      <c r="A13" s="24">
        <v>2013</v>
      </c>
      <c r="B13" s="41" t="s">
        <v>36</v>
      </c>
      <c r="C13" s="26" t="s">
        <v>221</v>
      </c>
      <c r="D13" s="31">
        <v>725</v>
      </c>
      <c r="E13" s="31">
        <v>565</v>
      </c>
      <c r="F13" s="42">
        <v>760</v>
      </c>
      <c r="G13" s="31">
        <v>444</v>
      </c>
      <c r="H13" s="42">
        <v>60</v>
      </c>
      <c r="I13" s="31">
        <v>0</v>
      </c>
      <c r="J13" s="31">
        <v>0</v>
      </c>
      <c r="K13" s="31">
        <v>11</v>
      </c>
      <c r="L13" s="31">
        <v>121</v>
      </c>
      <c r="M13" s="31">
        <v>346</v>
      </c>
      <c r="N13" s="31">
        <v>431</v>
      </c>
      <c r="O13" s="42">
        <v>506</v>
      </c>
      <c r="P13" s="31">
        <f t="shared" si="0"/>
        <v>3969</v>
      </c>
      <c r="Q13" s="36"/>
      <c r="R13" s="34">
        <f>(P13-P14)/P14</f>
        <v>-0.12864983534577387</v>
      </c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2013</v>
      </c>
      <c r="B14" s="41" t="s">
        <v>39</v>
      </c>
      <c r="C14" s="26" t="s">
        <v>222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2013</v>
      </c>
      <c r="B15" s="25" t="s">
        <v>41</v>
      </c>
      <c r="C15" s="30" t="s">
        <v>30</v>
      </c>
      <c r="D15" s="31">
        <v>154</v>
      </c>
      <c r="E15" s="31">
        <v>137.4</v>
      </c>
      <c r="F15" s="31">
        <v>153</v>
      </c>
      <c r="G15" s="31">
        <v>147</v>
      </c>
      <c r="H15" s="31">
        <v>116.28</v>
      </c>
      <c r="I15" s="31">
        <v>116</v>
      </c>
      <c r="J15" s="31">
        <v>74.7</v>
      </c>
      <c r="K15" s="31">
        <v>114</v>
      </c>
      <c r="L15" s="31">
        <v>150</v>
      </c>
      <c r="M15" s="31">
        <f>157</f>
        <v>157</v>
      </c>
      <c r="N15" s="31">
        <v>149</v>
      </c>
      <c r="O15" s="42">
        <v>147</v>
      </c>
      <c r="P15" s="31">
        <f t="shared" si="0"/>
        <v>1615.38</v>
      </c>
      <c r="Q15" s="2"/>
      <c r="R15" s="2"/>
      <c r="S15" s="2"/>
      <c r="T15" s="29">
        <f>P15+SUM('2012'!O15)</f>
        <v>1769.38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2013</v>
      </c>
      <c r="B16" s="25" t="s">
        <v>42</v>
      </c>
      <c r="C16" s="30" t="s">
        <v>30</v>
      </c>
      <c r="D16" s="31">
        <f t="shared" ref="D16:I16" si="5">D12</f>
        <v>596.6</v>
      </c>
      <c r="E16" s="31">
        <f t="shared" si="5"/>
        <v>388.5</v>
      </c>
      <c r="F16" s="31">
        <f t="shared" si="5"/>
        <v>497</v>
      </c>
      <c r="G16" s="31">
        <f t="shared" si="5"/>
        <v>259</v>
      </c>
      <c r="H16" s="31">
        <f t="shared" si="5"/>
        <v>62.1</v>
      </c>
      <c r="I16" s="46">
        <f t="shared" si="5"/>
        <v>13</v>
      </c>
      <c r="J16" s="46">
        <v>0</v>
      </c>
      <c r="K16" s="46">
        <f t="shared" ref="K16:O16" si="6">K12</f>
        <v>5.8</v>
      </c>
      <c r="L16" s="31">
        <f t="shared" si="6"/>
        <v>87</v>
      </c>
      <c r="M16" s="31">
        <f t="shared" si="6"/>
        <v>180</v>
      </c>
      <c r="N16" s="31">
        <f t="shared" si="6"/>
        <v>258.89999999999998</v>
      </c>
      <c r="O16" s="31">
        <f t="shared" si="6"/>
        <v>323.10000000000002</v>
      </c>
      <c r="P16" s="31">
        <f t="shared" si="0"/>
        <v>2671</v>
      </c>
      <c r="Q16" s="2"/>
      <c r="R16" s="11">
        <f>P11-P15-P16</f>
        <v>3097.5699999999997</v>
      </c>
      <c r="S16" s="2"/>
      <c r="T16" s="29">
        <f>P16+SUM('2012'!O16)</f>
        <v>3334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2013</v>
      </c>
      <c r="B17" s="25" t="s">
        <v>43</v>
      </c>
      <c r="C17" s="30" t="s">
        <v>30</v>
      </c>
      <c r="D17" s="31">
        <f t="shared" ref="D17:H17" si="7">IF(D16&lt;0,0,((D14/D13))*D16)</f>
        <v>611.41213793103452</v>
      </c>
      <c r="E17" s="31">
        <f t="shared" si="7"/>
        <v>476.5141592920354</v>
      </c>
      <c r="F17" s="31">
        <f t="shared" si="7"/>
        <v>406.10131578947369</v>
      </c>
      <c r="G17" s="31">
        <f t="shared" si="7"/>
        <v>246.16666666666666</v>
      </c>
      <c r="H17" s="31">
        <f t="shared" si="7"/>
        <v>180.09</v>
      </c>
      <c r="I17" s="46">
        <f t="shared" ref="I17:K17" si="8">I16</f>
        <v>13</v>
      </c>
      <c r="J17" s="46">
        <f t="shared" si="8"/>
        <v>0</v>
      </c>
      <c r="K17" s="46">
        <f t="shared" si="8"/>
        <v>5.8</v>
      </c>
      <c r="L17" s="31">
        <f t="shared" ref="L17:O17" si="9">IF(L16&lt;0,0,((L14/L13))*L16)</f>
        <v>156.02479338842974</v>
      </c>
      <c r="M17" s="31">
        <f t="shared" si="9"/>
        <v>207.05202312138729</v>
      </c>
      <c r="N17" s="31">
        <f t="shared" si="9"/>
        <v>323.17447795823665</v>
      </c>
      <c r="O17" s="42">
        <f t="shared" si="9"/>
        <v>434.84407114624508</v>
      </c>
      <c r="P17" s="40">
        <f t="shared" si="0"/>
        <v>3060.1796452935087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0">D11/D7</f>
        <v>36.354838709677416</v>
      </c>
      <c r="E20" s="4">
        <f t="shared" si="10"/>
        <v>27.285714285714285</v>
      </c>
      <c r="F20" s="4">
        <f t="shared" si="10"/>
        <v>30.903225806451612</v>
      </c>
      <c r="G20" s="4">
        <f t="shared" si="10"/>
        <v>23.3</v>
      </c>
      <c r="H20" s="4">
        <f t="shared" si="10"/>
        <v>12.161290322580646</v>
      </c>
      <c r="I20" s="4">
        <f t="shared" si="10"/>
        <v>10.666666666666666</v>
      </c>
      <c r="J20" s="4">
        <f t="shared" si="10"/>
        <v>7.967741935483871</v>
      </c>
      <c r="K20" s="4">
        <f t="shared" si="10"/>
        <v>11.064516129032258</v>
      </c>
      <c r="L20" s="4">
        <f t="shared" si="10"/>
        <v>15.333333333333334</v>
      </c>
      <c r="M20" s="4">
        <f t="shared" si="10"/>
        <v>19.156129032258065</v>
      </c>
      <c r="N20" s="4">
        <f t="shared" si="10"/>
        <v>23.470333333333333</v>
      </c>
      <c r="O20" s="4">
        <f t="shared" si="10"/>
        <v>25.516129032258064</v>
      </c>
      <c r="P20" s="4">
        <f>P11/365</f>
        <v>20.23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1">SUM(D11)</f>
        <v>1127</v>
      </c>
      <c r="E21" s="4">
        <f t="shared" ref="E21:O21" si="12">SUM($D$11:E11)</f>
        <v>1891</v>
      </c>
      <c r="F21" s="4">
        <f t="shared" si="12"/>
        <v>2849</v>
      </c>
      <c r="G21" s="4">
        <f t="shared" si="12"/>
        <v>3548</v>
      </c>
      <c r="H21" s="4">
        <f t="shared" si="12"/>
        <v>3925</v>
      </c>
      <c r="I21" s="4">
        <f t="shared" si="12"/>
        <v>4245</v>
      </c>
      <c r="J21" s="4">
        <f t="shared" si="12"/>
        <v>4492</v>
      </c>
      <c r="K21" s="4">
        <f t="shared" si="12"/>
        <v>4835</v>
      </c>
      <c r="L21" s="4">
        <f t="shared" si="12"/>
        <v>5295</v>
      </c>
      <c r="M21" s="4">
        <f t="shared" si="12"/>
        <v>5888.84</v>
      </c>
      <c r="N21" s="4">
        <f t="shared" si="12"/>
        <v>6592.95</v>
      </c>
      <c r="O21" s="4">
        <f t="shared" si="12"/>
        <v>7383.95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1"/>
        <v>596.6</v>
      </c>
      <c r="E22" s="4">
        <f t="shared" ref="E22:O22" si="13">SUM($D$12:E12)</f>
        <v>985.1</v>
      </c>
      <c r="F22" s="4">
        <f t="shared" si="13"/>
        <v>1482.1</v>
      </c>
      <c r="G22" s="4">
        <f t="shared" si="13"/>
        <v>1741.1</v>
      </c>
      <c r="H22" s="4">
        <f t="shared" si="13"/>
        <v>1803.1999999999998</v>
      </c>
      <c r="I22" s="4">
        <f t="shared" si="13"/>
        <v>1816.1999999999998</v>
      </c>
      <c r="J22" s="4">
        <f t="shared" si="13"/>
        <v>1818.7999999999997</v>
      </c>
      <c r="K22" s="4">
        <f t="shared" si="13"/>
        <v>1824.5999999999997</v>
      </c>
      <c r="L22" s="4">
        <f t="shared" si="13"/>
        <v>1911.5999999999997</v>
      </c>
      <c r="M22" s="4">
        <f t="shared" si="13"/>
        <v>2091.5999999999995</v>
      </c>
      <c r="N22" s="4">
        <f t="shared" si="13"/>
        <v>2350.4999999999995</v>
      </c>
      <c r="O22" s="4">
        <f t="shared" si="13"/>
        <v>2673.5999999999995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596.6</v>
      </c>
      <c r="E23" s="4">
        <f t="shared" ref="E23:O23" si="14">SUM($D$16:E16)</f>
        <v>985.1</v>
      </c>
      <c r="F23" s="4">
        <f t="shared" si="14"/>
        <v>1482.1</v>
      </c>
      <c r="G23" s="4">
        <f t="shared" si="14"/>
        <v>1741.1</v>
      </c>
      <c r="H23" s="4">
        <f t="shared" si="14"/>
        <v>1803.1999999999998</v>
      </c>
      <c r="I23" s="4">
        <f t="shared" si="14"/>
        <v>1816.1999999999998</v>
      </c>
      <c r="J23" s="4">
        <f t="shared" si="14"/>
        <v>1816.1999999999998</v>
      </c>
      <c r="K23" s="4">
        <f t="shared" si="14"/>
        <v>1821.9999999999998</v>
      </c>
      <c r="L23" s="4">
        <f t="shared" si="14"/>
        <v>1908.9999999999998</v>
      </c>
      <c r="M23" s="4">
        <f t="shared" si="14"/>
        <v>2089</v>
      </c>
      <c r="N23" s="4">
        <f t="shared" si="14"/>
        <v>2347.9</v>
      </c>
      <c r="O23" s="4">
        <f t="shared" si="14"/>
        <v>2671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5">(D11-D12-D15)/D7</f>
        <v>12.141935483870967</v>
      </c>
      <c r="E24" s="4">
        <f t="shared" si="15"/>
        <v>8.5035714285714281</v>
      </c>
      <c r="F24" s="4">
        <f t="shared" si="15"/>
        <v>9.935483870967742</v>
      </c>
      <c r="G24" s="4">
        <f t="shared" si="15"/>
        <v>9.7666666666666675</v>
      </c>
      <c r="H24" s="4">
        <f t="shared" si="15"/>
        <v>6.4070967741935476</v>
      </c>
      <c r="I24" s="4">
        <f t="shared" si="15"/>
        <v>6.3666666666666663</v>
      </c>
      <c r="J24" s="4">
        <f t="shared" si="15"/>
        <v>5.4741935483870963</v>
      </c>
      <c r="K24" s="4">
        <f t="shared" si="15"/>
        <v>7.1999999999999993</v>
      </c>
      <c r="L24" s="4">
        <f t="shared" si="15"/>
        <v>7.4333333333333336</v>
      </c>
      <c r="M24" s="4">
        <f t="shared" si="15"/>
        <v>8.2851612903225824</v>
      </c>
      <c r="N24" s="4">
        <f t="shared" si="15"/>
        <v>9.8736666666666686</v>
      </c>
      <c r="O24" s="4">
        <f t="shared" si="15"/>
        <v>10.351612903225806</v>
      </c>
      <c r="P24" s="4">
        <f t="shared" si="15"/>
        <v>8.4793698630136998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D21+'2012'!$P$11-'2012'!D21</f>
        <v>8128</v>
      </c>
      <c r="E25" s="10">
        <f>E21+'2012'!$P$11-'2012'!E21</f>
        <v>7926</v>
      </c>
      <c r="F25" s="10">
        <f>F21+'2012'!$P$11-'2012'!F21</f>
        <v>8083</v>
      </c>
      <c r="G25" s="10">
        <f>G21+'2012'!$P$11-'2012'!G21</f>
        <v>8060</v>
      </c>
      <c r="H25" s="10">
        <f>H21+'2012'!$P$11-'2012'!H21</f>
        <v>7975</v>
      </c>
      <c r="I25" s="10">
        <f>I21+'2012'!$P$11-'2012'!I21</f>
        <v>7935</v>
      </c>
      <c r="J25" s="10">
        <f>J21+'2012'!$P$11-'2012'!J21</f>
        <v>7933</v>
      </c>
      <c r="K25" s="10">
        <f>K21+'2012'!$P$11-'2012'!K21</f>
        <v>7894</v>
      </c>
      <c r="L25" s="10">
        <f>L21+'2012'!$P$11-'2012'!L21</f>
        <v>7862</v>
      </c>
      <c r="M25" s="10">
        <f>M21+'2012'!$P$11-'2012'!M21</f>
        <v>7822.84</v>
      </c>
      <c r="N25" s="10">
        <f>N21+'2012'!$P$11-'2012'!N21</f>
        <v>7785.9500000000007</v>
      </c>
      <c r="O25" s="10">
        <f>O21+'2012'!$P$11-'2012'!O21</f>
        <v>7383.9500000000007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6">D16/D11</f>
        <v>0.52937000887311447</v>
      </c>
      <c r="E27" s="73">
        <f t="shared" si="16"/>
        <v>0.50850785340314131</v>
      </c>
      <c r="F27" s="73">
        <f t="shared" si="16"/>
        <v>0.51878914405010434</v>
      </c>
      <c r="G27" s="73">
        <f t="shared" si="16"/>
        <v>0.37052932761087265</v>
      </c>
      <c r="H27" s="73">
        <f t="shared" si="16"/>
        <v>0.16472148541114059</v>
      </c>
      <c r="I27" s="73">
        <f t="shared" si="16"/>
        <v>4.0625000000000001E-2</v>
      </c>
      <c r="J27" s="73">
        <f t="shared" si="16"/>
        <v>0</v>
      </c>
      <c r="K27" s="73">
        <f t="shared" si="16"/>
        <v>1.6909620991253645E-2</v>
      </c>
      <c r="L27" s="73">
        <f t="shared" si="16"/>
        <v>0.18913043478260869</v>
      </c>
      <c r="M27" s="73">
        <f t="shared" si="16"/>
        <v>0.30311194934662533</v>
      </c>
      <c r="N27" s="73">
        <f t="shared" si="16"/>
        <v>0.36769822896990523</v>
      </c>
      <c r="O27" s="73">
        <f t="shared" si="16"/>
        <v>0.40847029077117575</v>
      </c>
      <c r="P27" s="73">
        <f t="shared" si="16"/>
        <v>0.36173051009283652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223</v>
      </c>
      <c r="D28" s="4">
        <f t="shared" ref="D28:H28" si="17">D16/D13</f>
        <v>0.822896551724138</v>
      </c>
      <c r="E28" s="4">
        <f t="shared" si="17"/>
        <v>0.68761061946902657</v>
      </c>
      <c r="F28" s="4">
        <f t="shared" si="17"/>
        <v>0.65394736842105261</v>
      </c>
      <c r="G28" s="4">
        <f t="shared" si="17"/>
        <v>0.58333333333333337</v>
      </c>
      <c r="H28" s="4">
        <f t="shared" si="17"/>
        <v>1.0349999999999999</v>
      </c>
      <c r="I28" s="52"/>
      <c r="J28" s="52"/>
      <c r="K28" s="52"/>
      <c r="L28" s="4">
        <f t="shared" ref="L28:P28" si="18">L16/L13</f>
        <v>0.71900826446280997</v>
      </c>
      <c r="M28" s="4">
        <f t="shared" si="18"/>
        <v>0.52023121387283233</v>
      </c>
      <c r="N28" s="4">
        <f t="shared" si="18"/>
        <v>0.60069605568445472</v>
      </c>
      <c r="O28" s="4">
        <f t="shared" si="18"/>
        <v>0.63853754940711471</v>
      </c>
      <c r="P28" s="4">
        <f t="shared" si="18"/>
        <v>0.672965482489292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9">D16/D7</f>
        <v>19.245161290322581</v>
      </c>
      <c r="E29" s="4">
        <f t="shared" si="19"/>
        <v>13.875</v>
      </c>
      <c r="F29" s="4">
        <f t="shared" si="19"/>
        <v>16.032258064516128</v>
      </c>
      <c r="G29" s="4">
        <f t="shared" si="19"/>
        <v>8.6333333333333329</v>
      </c>
      <c r="H29" s="4">
        <f t="shared" si="19"/>
        <v>2.0032258064516131</v>
      </c>
      <c r="I29" s="4">
        <f t="shared" si="19"/>
        <v>0.43333333333333335</v>
      </c>
      <c r="J29" s="4">
        <f t="shared" si="19"/>
        <v>0</v>
      </c>
      <c r="K29" s="4">
        <f t="shared" si="19"/>
        <v>0.18709677419354839</v>
      </c>
      <c r="L29" s="4">
        <f t="shared" si="19"/>
        <v>2.9</v>
      </c>
      <c r="M29" s="4">
        <f t="shared" si="19"/>
        <v>5.806451612903226</v>
      </c>
      <c r="N29" s="4">
        <f t="shared" si="19"/>
        <v>8.629999999999999</v>
      </c>
      <c r="O29" s="4">
        <f t="shared" si="19"/>
        <v>10.422580645161291</v>
      </c>
      <c r="P29" s="4">
        <f t="shared" si="19"/>
        <v>7.3178082191780822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20">D17/D7</f>
        <v>19.722972191323695</v>
      </c>
      <c r="E30" s="4">
        <f t="shared" si="20"/>
        <v>17.018362831858408</v>
      </c>
      <c r="F30" s="4">
        <f t="shared" si="20"/>
        <v>13.100042444821732</v>
      </c>
      <c r="G30" s="4">
        <f t="shared" si="20"/>
        <v>8.2055555555555557</v>
      </c>
      <c r="H30" s="4">
        <f t="shared" si="20"/>
        <v>5.8093548387096776</v>
      </c>
      <c r="I30" s="4">
        <f t="shared" si="20"/>
        <v>0.43333333333333335</v>
      </c>
      <c r="J30" s="4">
        <f t="shared" si="20"/>
        <v>0</v>
      </c>
      <c r="K30" s="4">
        <f t="shared" si="20"/>
        <v>0.18709677419354839</v>
      </c>
      <c r="L30" s="4">
        <f t="shared" si="20"/>
        <v>5.200826446280991</v>
      </c>
      <c r="M30" s="4">
        <f t="shared" si="20"/>
        <v>6.6790975200447518</v>
      </c>
      <c r="N30" s="4">
        <f t="shared" si="20"/>
        <v>10.772482598607889</v>
      </c>
      <c r="O30" s="4">
        <f t="shared" si="20"/>
        <v>14.027228101491778</v>
      </c>
      <c r="P30" s="4">
        <f t="shared" si="20"/>
        <v>8.3840538227219419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224</v>
      </c>
      <c r="D31" s="4">
        <f t="shared" ref="D31:P31" si="21">D16/$F$4</f>
        <v>2.4661044973544972</v>
      </c>
      <c r="E31" s="4">
        <f t="shared" si="21"/>
        <v>1.6059027777777777</v>
      </c>
      <c r="F31" s="4">
        <f t="shared" si="21"/>
        <v>2.0543981481481479</v>
      </c>
      <c r="G31" s="4">
        <f t="shared" si="21"/>
        <v>1.0706018518518519</v>
      </c>
      <c r="H31" s="4">
        <f t="shared" si="21"/>
        <v>0.25669642857142855</v>
      </c>
      <c r="I31" s="4">
        <f t="shared" si="21"/>
        <v>5.3736772486772486E-2</v>
      </c>
      <c r="J31" s="4">
        <f t="shared" si="21"/>
        <v>0</v>
      </c>
      <c r="K31" s="4">
        <f t="shared" si="21"/>
        <v>2.3974867724867722E-2</v>
      </c>
      <c r="L31" s="4">
        <f t="shared" si="21"/>
        <v>0.35962301587301587</v>
      </c>
      <c r="M31" s="4">
        <f t="shared" si="21"/>
        <v>0.74404761904761896</v>
      </c>
      <c r="N31" s="4">
        <f t="shared" si="21"/>
        <v>1.0701884920634919</v>
      </c>
      <c r="O31" s="4">
        <f t="shared" si="21"/>
        <v>1.3355654761904763</v>
      </c>
      <c r="P31" s="4">
        <f t="shared" si="21"/>
        <v>11.040839947089946</v>
      </c>
      <c r="Q31" s="2"/>
      <c r="R31" s="2"/>
      <c r="S31" s="2"/>
      <c r="T31" s="4">
        <f>T16/$F$4</f>
        <v>13.781415343915343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225</v>
      </c>
      <c r="D32" s="4">
        <f t="shared" ref="D32:P32" si="22">D16/$F$3</f>
        <v>6.2145833333333336</v>
      </c>
      <c r="E32" s="4">
        <f t="shared" si="22"/>
        <v>4.046875</v>
      </c>
      <c r="F32" s="4">
        <f t="shared" si="22"/>
        <v>5.177083333333333</v>
      </c>
      <c r="G32" s="4">
        <f t="shared" si="22"/>
        <v>2.6979166666666665</v>
      </c>
      <c r="H32" s="4">
        <f t="shared" si="22"/>
        <v>0.64687499999999998</v>
      </c>
      <c r="I32" s="4">
        <f t="shared" si="22"/>
        <v>0.13541666666666666</v>
      </c>
      <c r="J32" s="4">
        <f t="shared" si="22"/>
        <v>0</v>
      </c>
      <c r="K32" s="4">
        <f t="shared" si="22"/>
        <v>6.0416666666666667E-2</v>
      </c>
      <c r="L32" s="4">
        <f t="shared" si="22"/>
        <v>0.90625</v>
      </c>
      <c r="M32" s="4">
        <f t="shared" si="22"/>
        <v>1.875</v>
      </c>
      <c r="N32" s="4">
        <f t="shared" si="22"/>
        <v>2.6968749999999999</v>
      </c>
      <c r="O32" s="4">
        <f t="shared" si="22"/>
        <v>3.3656250000000001</v>
      </c>
      <c r="P32" s="4">
        <f t="shared" si="22"/>
        <v>27.822916666666668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226</v>
      </c>
      <c r="D33" s="4">
        <f t="shared" ref="D33:P33" si="23">D17/$F$4</f>
        <v>2.5273319193577812</v>
      </c>
      <c r="E33" s="4">
        <f t="shared" si="23"/>
        <v>1.9697179203539821</v>
      </c>
      <c r="F33" s="4">
        <f t="shared" si="23"/>
        <v>1.6786595394736841</v>
      </c>
      <c r="G33" s="4">
        <f t="shared" si="23"/>
        <v>1.017554012345679</v>
      </c>
      <c r="H33" s="4">
        <f t="shared" si="23"/>
        <v>0.74441964285714279</v>
      </c>
      <c r="I33" s="4">
        <f t="shared" si="23"/>
        <v>5.3736772486772486E-2</v>
      </c>
      <c r="J33" s="4">
        <f t="shared" si="23"/>
        <v>0</v>
      </c>
      <c r="K33" s="4">
        <f t="shared" si="23"/>
        <v>2.3974867724867722E-2</v>
      </c>
      <c r="L33" s="4">
        <f t="shared" si="23"/>
        <v>0.64494375573921026</v>
      </c>
      <c r="M33" s="4">
        <f t="shared" si="23"/>
        <v>0.85586980456922657</v>
      </c>
      <c r="N33" s="4">
        <f t="shared" si="23"/>
        <v>1.3358733381210177</v>
      </c>
      <c r="O33" s="4">
        <f t="shared" si="23"/>
        <v>1.797470532185206</v>
      </c>
      <c r="P33" s="4">
        <f t="shared" si="23"/>
        <v>12.649552105214569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227</v>
      </c>
      <c r="D34" s="4">
        <f t="shared" ref="D34:P34" si="24">D17/$F$3</f>
        <v>6.3688764367816093</v>
      </c>
      <c r="E34" s="4">
        <f t="shared" si="24"/>
        <v>4.9636891592920351</v>
      </c>
      <c r="F34" s="4">
        <f t="shared" si="24"/>
        <v>4.2302220394736842</v>
      </c>
      <c r="G34" s="4">
        <f t="shared" si="24"/>
        <v>2.5642361111111112</v>
      </c>
      <c r="H34" s="4">
        <f t="shared" si="24"/>
        <v>1.8759375</v>
      </c>
      <c r="I34" s="4">
        <f t="shared" si="24"/>
        <v>0.13541666666666666</v>
      </c>
      <c r="J34" s="4">
        <f t="shared" si="24"/>
        <v>0</v>
      </c>
      <c r="K34" s="4">
        <f t="shared" si="24"/>
        <v>6.0416666666666667E-2</v>
      </c>
      <c r="L34" s="4">
        <f t="shared" si="24"/>
        <v>1.6252582644628097</v>
      </c>
      <c r="M34" s="4">
        <f t="shared" si="24"/>
        <v>2.1567919075144508</v>
      </c>
      <c r="N34" s="4">
        <f t="shared" si="24"/>
        <v>3.3664008120649651</v>
      </c>
      <c r="O34" s="4">
        <f t="shared" si="24"/>
        <v>4.5296257411067193</v>
      </c>
      <c r="P34" s="4">
        <f t="shared" si="24"/>
        <v>31.876871305140714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228</v>
      </c>
      <c r="D35" s="4">
        <f t="shared" ref="D35:H35" si="25">1000*D31/D13</f>
        <v>3.4015234446268927</v>
      </c>
      <c r="E35" s="4">
        <f t="shared" si="25"/>
        <v>2.8423058013765976</v>
      </c>
      <c r="F35" s="4">
        <f t="shared" si="25"/>
        <v>2.7031554580896682</v>
      </c>
      <c r="G35" s="4">
        <f t="shared" si="25"/>
        <v>2.4112654320987659</v>
      </c>
      <c r="H35" s="4">
        <f t="shared" si="25"/>
        <v>4.2782738095238093</v>
      </c>
      <c r="I35" s="52"/>
      <c r="J35" s="52"/>
      <c r="K35" s="52"/>
      <c r="L35" s="4">
        <f t="shared" ref="L35:P35" si="26">1000*L31/L13</f>
        <v>2.9720910402728582</v>
      </c>
      <c r="M35" s="4">
        <f t="shared" si="26"/>
        <v>2.1504266446462976</v>
      </c>
      <c r="N35" s="4">
        <f t="shared" si="26"/>
        <v>2.4830359444628582</v>
      </c>
      <c r="O35" s="4">
        <f t="shared" si="26"/>
        <v>2.6394574628270284</v>
      </c>
      <c r="P35" s="4">
        <f t="shared" si="26"/>
        <v>2.7817686941521655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3200</v>
      </c>
      <c r="E39" s="8" t="s">
        <v>30</v>
      </c>
      <c r="F39" s="4"/>
      <c r="G39" s="8" t="s">
        <v>65</v>
      </c>
      <c r="H39" s="4"/>
      <c r="I39" s="4"/>
      <c r="J39" s="4"/>
      <c r="K39" s="4">
        <v>7500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1600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4300</v>
      </c>
      <c r="L40" s="8" t="s">
        <v>30</v>
      </c>
      <c r="M40" s="4"/>
      <c r="N40" s="10">
        <f>SUM(D40:D41,K39)</f>
        <v>12385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0.57333333333333336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8085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0.34719418651594669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65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65" t="s">
        <v>157</v>
      </c>
      <c r="C46" s="65" t="s">
        <v>75</v>
      </c>
      <c r="D46" s="4">
        <v>5.55</v>
      </c>
      <c r="E46" s="4">
        <v>5.14</v>
      </c>
      <c r="F46" s="4">
        <v>5.84</v>
      </c>
      <c r="G46" s="4">
        <v>5.69</v>
      </c>
      <c r="H46" s="4">
        <v>4.87</v>
      </c>
      <c r="I46" s="4">
        <v>5.0199999999999996</v>
      </c>
      <c r="J46" s="4">
        <v>4.8499999999999996</v>
      </c>
      <c r="K46" s="4">
        <v>5.52</v>
      </c>
      <c r="L46" s="4">
        <v>6.36</v>
      </c>
      <c r="M46" s="4">
        <v>5.94</v>
      </c>
      <c r="N46" s="4">
        <v>5.03</v>
      </c>
      <c r="O46" s="4">
        <v>4.79</v>
      </c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S1" r:id="rId1" xr:uid="{00000000-0004-0000-1000-000000000000}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>
        <f>366*12</f>
        <v>4392</v>
      </c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229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SUM(I11:K11)/92</f>
        <v>10.771739130434783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230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29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2012</v>
      </c>
      <c r="B8" s="25" t="s">
        <v>27</v>
      </c>
      <c r="C8" s="26" t="s">
        <v>231</v>
      </c>
      <c r="D8" s="27">
        <v>-6.1</v>
      </c>
      <c r="E8" s="27">
        <v>-8.9</v>
      </c>
      <c r="F8" s="27">
        <v>-0.4</v>
      </c>
      <c r="G8" s="27">
        <v>3</v>
      </c>
      <c r="H8" s="27">
        <v>10.9</v>
      </c>
      <c r="I8" s="27">
        <v>13</v>
      </c>
      <c r="J8" s="27">
        <v>17.399999999999999</v>
      </c>
      <c r="K8" s="27">
        <v>14.5</v>
      </c>
      <c r="L8" s="27">
        <v>10.7</v>
      </c>
      <c r="M8" s="27">
        <v>5.6</v>
      </c>
      <c r="N8" s="27">
        <v>2.2999999999999998</v>
      </c>
      <c r="O8" s="28">
        <v>-8.1</v>
      </c>
      <c r="P8" s="27">
        <f>AVERAGE(D8:O8)</f>
        <v>4.4916666666666663</v>
      </c>
      <c r="Q8" s="2"/>
      <c r="R8" s="2"/>
      <c r="S8" s="2"/>
      <c r="T8" s="29">
        <f>AVERAGE(D8:N8,'2011'!O8)</f>
        <v>5.1999999999999993</v>
      </c>
      <c r="U8" s="2"/>
      <c r="V8" s="2"/>
      <c r="W8" s="2"/>
      <c r="X8" s="2"/>
      <c r="Y8" s="2"/>
      <c r="Z8" s="2"/>
    </row>
    <row r="9" spans="1:26" ht="12.75" customHeight="1" x14ac:dyDescent="0.25">
      <c r="A9" s="24">
        <v>2012</v>
      </c>
      <c r="B9" s="25" t="s">
        <v>29</v>
      </c>
      <c r="C9" s="30" t="s">
        <v>30</v>
      </c>
      <c r="D9" s="31">
        <v>653</v>
      </c>
      <c r="E9" s="31">
        <v>552</v>
      </c>
      <c r="F9" s="31">
        <v>440</v>
      </c>
      <c r="G9" s="31">
        <v>383</v>
      </c>
      <c r="H9" s="31">
        <v>216</v>
      </c>
      <c r="I9" s="31">
        <f>3247-3056</f>
        <v>191</v>
      </c>
      <c r="J9" s="31">
        <f>(3373-3247)</f>
        <v>126</v>
      </c>
      <c r="K9" s="31">
        <v>194</v>
      </c>
      <c r="L9" s="31">
        <v>261</v>
      </c>
      <c r="M9" s="31">
        <v>342</v>
      </c>
      <c r="N9" s="31">
        <v>428</v>
      </c>
      <c r="O9" s="42">
        <v>709</v>
      </c>
      <c r="P9" s="31">
        <f t="shared" ref="P9:P17" si="0">SUM(D9:O9)</f>
        <v>4495</v>
      </c>
      <c r="Q9" s="2"/>
      <c r="R9" s="34">
        <f t="shared" ref="R9:R12" si="1">O9/$O$11</f>
        <v>0.59430008382229671</v>
      </c>
      <c r="S9" s="34"/>
      <c r="T9" s="29">
        <f>P9+SUM('2011'!O9)</f>
        <v>4922</v>
      </c>
      <c r="U9" s="29"/>
      <c r="V9" s="34">
        <f t="shared" ref="V9:V12" si="2">P9/$P$11</f>
        <v>0.55445910941161958</v>
      </c>
      <c r="W9" s="36"/>
      <c r="X9" s="11"/>
      <c r="Y9" s="2"/>
      <c r="Z9" s="2"/>
    </row>
    <row r="10" spans="1:26" ht="12.75" customHeight="1" x14ac:dyDescent="0.25">
      <c r="A10" s="24">
        <v>2012</v>
      </c>
      <c r="B10" s="25" t="s">
        <v>31</v>
      </c>
      <c r="C10" s="30" t="s">
        <v>30</v>
      </c>
      <c r="D10" s="31">
        <v>453</v>
      </c>
      <c r="E10" s="31">
        <v>414</v>
      </c>
      <c r="F10" s="31">
        <v>361</v>
      </c>
      <c r="G10" s="31">
        <v>339</v>
      </c>
      <c r="H10" s="31">
        <v>246</v>
      </c>
      <c r="I10" s="31">
        <f>2576-2407</f>
        <v>169</v>
      </c>
      <c r="J10" s="31">
        <f>(2699-2576)</f>
        <v>123</v>
      </c>
      <c r="K10" s="31">
        <v>188</v>
      </c>
      <c r="L10" s="31">
        <v>231</v>
      </c>
      <c r="M10" s="31">
        <v>291</v>
      </c>
      <c r="N10" s="31">
        <v>313</v>
      </c>
      <c r="O10" s="42">
        <v>484</v>
      </c>
      <c r="P10" s="31">
        <f t="shared" si="0"/>
        <v>3612</v>
      </c>
      <c r="Q10" s="39"/>
      <c r="R10" s="34">
        <f t="shared" si="1"/>
        <v>0.40569991617770329</v>
      </c>
      <c r="S10" s="34"/>
      <c r="T10" s="29">
        <f>P10+SUM('2011'!O10)</f>
        <v>3920</v>
      </c>
      <c r="U10" s="29"/>
      <c r="V10" s="34">
        <f t="shared" si="2"/>
        <v>0.44554089058838042</v>
      </c>
      <c r="W10" s="36"/>
      <c r="X10" s="11"/>
      <c r="Y10" s="2"/>
      <c r="Z10" s="2"/>
    </row>
    <row r="11" spans="1:26" ht="12.75" customHeight="1" x14ac:dyDescent="0.25">
      <c r="A11" s="24">
        <v>2012</v>
      </c>
      <c r="B11" s="25" t="s">
        <v>32</v>
      </c>
      <c r="C11" s="30" t="s">
        <v>30</v>
      </c>
      <c r="D11" s="31">
        <f t="shared" ref="D11:O11" si="3">SUM(D9:D10)</f>
        <v>1106</v>
      </c>
      <c r="E11" s="31">
        <f t="shared" si="3"/>
        <v>966</v>
      </c>
      <c r="F11" s="31">
        <f t="shared" si="3"/>
        <v>801</v>
      </c>
      <c r="G11" s="31">
        <f t="shared" si="3"/>
        <v>722</v>
      </c>
      <c r="H11" s="31">
        <f t="shared" si="3"/>
        <v>462</v>
      </c>
      <c r="I11" s="31">
        <f t="shared" si="3"/>
        <v>360</v>
      </c>
      <c r="J11" s="31">
        <f t="shared" si="3"/>
        <v>249</v>
      </c>
      <c r="K11" s="31">
        <f t="shared" si="3"/>
        <v>382</v>
      </c>
      <c r="L11" s="31">
        <f t="shared" si="3"/>
        <v>492</v>
      </c>
      <c r="M11" s="31">
        <f t="shared" si="3"/>
        <v>633</v>
      </c>
      <c r="N11" s="31">
        <f t="shared" si="3"/>
        <v>741</v>
      </c>
      <c r="O11" s="42">
        <f t="shared" si="3"/>
        <v>1193</v>
      </c>
      <c r="P11" s="40">
        <f t="shared" si="0"/>
        <v>8107</v>
      </c>
      <c r="Q11" s="39"/>
      <c r="R11" s="34">
        <f t="shared" si="1"/>
        <v>1</v>
      </c>
      <c r="S11" s="34"/>
      <c r="T11" s="29">
        <f>P11+SUM('2011'!O11)</f>
        <v>8842</v>
      </c>
      <c r="U11" s="29"/>
      <c r="V11" s="34">
        <f t="shared" si="2"/>
        <v>1</v>
      </c>
      <c r="W11" s="36"/>
      <c r="X11" s="11"/>
      <c r="Y11" s="2"/>
      <c r="Z11" s="2"/>
    </row>
    <row r="12" spans="1:26" ht="12.75" customHeight="1" x14ac:dyDescent="0.25">
      <c r="A12" s="24">
        <v>2012</v>
      </c>
      <c r="B12" s="25" t="s">
        <v>33</v>
      </c>
      <c r="C12" s="30" t="s">
        <v>30</v>
      </c>
      <c r="D12" s="31">
        <v>577</v>
      </c>
      <c r="E12" s="31">
        <v>600</v>
      </c>
      <c r="F12" s="31">
        <f>313/28*31</f>
        <v>346.53571428571428</v>
      </c>
      <c r="G12" s="31">
        <v>256</v>
      </c>
      <c r="H12" s="31">
        <v>84</v>
      </c>
      <c r="I12" s="31">
        <v>44</v>
      </c>
      <c r="J12" s="31">
        <f>48.6</f>
        <v>48.6</v>
      </c>
      <c r="K12" s="31">
        <v>23</v>
      </c>
      <c r="L12" s="31">
        <v>95</v>
      </c>
      <c r="M12" s="31">
        <v>199.6</v>
      </c>
      <c r="N12" s="31">
        <v>279</v>
      </c>
      <c r="O12" s="42">
        <v>657</v>
      </c>
      <c r="P12" s="31">
        <f t="shared" si="0"/>
        <v>3209.735714285714</v>
      </c>
      <c r="Q12" s="39"/>
      <c r="R12" s="34">
        <f t="shared" si="1"/>
        <v>0.55071248952221286</v>
      </c>
      <c r="S12" s="34"/>
      <c r="T12" s="29">
        <f>P12+SUM('2011'!O12)</f>
        <v>3529.735714285714</v>
      </c>
      <c r="U12" s="29"/>
      <c r="V12" s="34">
        <f t="shared" si="2"/>
        <v>0.39592151403548959</v>
      </c>
      <c r="W12" s="36"/>
      <c r="X12" s="11">
        <f>P12+'2011'!X12</f>
        <v>4453.3357142857139</v>
      </c>
      <c r="Y12" s="2"/>
      <c r="Z12" s="2"/>
    </row>
    <row r="13" spans="1:26" ht="12.75" customHeight="1" x14ac:dyDescent="0.25">
      <c r="A13" s="24">
        <v>2012</v>
      </c>
      <c r="B13" s="41" t="s">
        <v>36</v>
      </c>
      <c r="C13" s="26" t="s">
        <v>232</v>
      </c>
      <c r="D13" s="31">
        <v>717</v>
      </c>
      <c r="E13" s="31">
        <v>749</v>
      </c>
      <c r="F13" s="42">
        <v>544</v>
      </c>
      <c r="G13" s="31">
        <v>401</v>
      </c>
      <c r="H13" s="42">
        <v>136</v>
      </c>
      <c r="I13" s="31">
        <v>24</v>
      </c>
      <c r="J13" s="31">
        <v>0</v>
      </c>
      <c r="K13" s="31">
        <v>31</v>
      </c>
      <c r="L13" s="31">
        <v>142</v>
      </c>
      <c r="M13" s="31">
        <v>374</v>
      </c>
      <c r="N13" s="31">
        <v>435</v>
      </c>
      <c r="O13" s="42">
        <v>767</v>
      </c>
      <c r="P13" s="31">
        <f t="shared" si="0"/>
        <v>4320</v>
      </c>
      <c r="Q13" s="36"/>
      <c r="R13" s="34"/>
      <c r="S13" s="2"/>
      <c r="T13" s="29">
        <f>P13+SUM('2011'!O13)</f>
        <v>4811</v>
      </c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2012</v>
      </c>
      <c r="B14" s="41" t="s">
        <v>39</v>
      </c>
      <c r="C14" s="26" t="s">
        <v>233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>
        <f>(P14-P13)/P14</f>
        <v>5.159165751920966E-2</v>
      </c>
      <c r="S14" s="2"/>
      <c r="T14" s="29">
        <f>P14+SUM('2011'!O14)</f>
        <v>5236</v>
      </c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2012</v>
      </c>
      <c r="B15" s="25" t="s">
        <v>41</v>
      </c>
      <c r="C15" s="30" t="s">
        <v>30</v>
      </c>
      <c r="D15" s="31">
        <f>154.5</f>
        <v>154.5</v>
      </c>
      <c r="E15" s="31">
        <v>97</v>
      </c>
      <c r="F15" s="31">
        <v>156.30000000000001</v>
      </c>
      <c r="G15" s="31">
        <v>164</v>
      </c>
      <c r="H15" s="31">
        <v>142</v>
      </c>
      <c r="I15" s="31">
        <f>97.4</f>
        <v>97.4</v>
      </c>
      <c r="J15" s="31">
        <f>75.7</f>
        <v>75.7</v>
      </c>
      <c r="K15" s="31">
        <v>126.6</v>
      </c>
      <c r="L15" s="31">
        <v>141</v>
      </c>
      <c r="M15" s="31">
        <v>164.5</v>
      </c>
      <c r="N15" s="31">
        <v>157.5</v>
      </c>
      <c r="O15" s="42">
        <v>154</v>
      </c>
      <c r="P15" s="31">
        <f t="shared" si="0"/>
        <v>1630.5</v>
      </c>
      <c r="Q15" s="2"/>
      <c r="R15" s="2"/>
      <c r="S15" s="2"/>
      <c r="T15" s="29">
        <f>P15+SUM('2011'!O15)</f>
        <v>1749.5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2012</v>
      </c>
      <c r="B16" s="25" t="s">
        <v>42</v>
      </c>
      <c r="C16" s="30" t="s">
        <v>30</v>
      </c>
      <c r="D16" s="31">
        <f>D12+6</f>
        <v>583</v>
      </c>
      <c r="E16" s="31">
        <f>E12+10*3</f>
        <v>630</v>
      </c>
      <c r="F16" s="31">
        <f t="shared" ref="F16:I16" si="4">F12</f>
        <v>346.53571428571428</v>
      </c>
      <c r="G16" s="31">
        <f t="shared" si="4"/>
        <v>256</v>
      </c>
      <c r="H16" s="31">
        <f t="shared" si="4"/>
        <v>84</v>
      </c>
      <c r="I16" s="46">
        <f t="shared" si="4"/>
        <v>44</v>
      </c>
      <c r="J16" s="46">
        <f>J12-2</f>
        <v>46.6</v>
      </c>
      <c r="K16" s="46">
        <f t="shared" ref="K16:N16" si="5">K12</f>
        <v>23</v>
      </c>
      <c r="L16" s="31">
        <f t="shared" si="5"/>
        <v>95</v>
      </c>
      <c r="M16" s="31">
        <f t="shared" si="5"/>
        <v>199.6</v>
      </c>
      <c r="N16" s="31">
        <f t="shared" si="5"/>
        <v>279</v>
      </c>
      <c r="O16" s="31">
        <f>O12+6</f>
        <v>663</v>
      </c>
      <c r="P16" s="31">
        <f t="shared" si="0"/>
        <v>3249.735714285714</v>
      </c>
      <c r="Q16" s="11">
        <f>P11-P15-P16</f>
        <v>3226.764285714286</v>
      </c>
      <c r="R16" s="39"/>
      <c r="S16" s="2"/>
      <c r="T16" s="29">
        <f>P16+SUM('2011'!O16)</f>
        <v>3569.735714285714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2012</v>
      </c>
      <c r="B17" s="25" t="s">
        <v>43</v>
      </c>
      <c r="C17" s="30" t="s">
        <v>30</v>
      </c>
      <c r="D17" s="31">
        <f t="shared" ref="D17:H17" si="6">IF(D16&lt;0,0,((D14/D13))*D16)</f>
        <v>604.14086471408643</v>
      </c>
      <c r="E17" s="31">
        <f t="shared" si="6"/>
        <v>582.89719626168221</v>
      </c>
      <c r="F17" s="31">
        <f t="shared" si="6"/>
        <v>395.58580619747897</v>
      </c>
      <c r="G17" s="31">
        <f t="shared" si="6"/>
        <v>269.40648379052368</v>
      </c>
      <c r="H17" s="31">
        <f t="shared" si="6"/>
        <v>107.47058823529412</v>
      </c>
      <c r="I17" s="46">
        <f t="shared" ref="I17:K17" si="7">I16</f>
        <v>44</v>
      </c>
      <c r="J17" s="46">
        <f t="shared" si="7"/>
        <v>46.6</v>
      </c>
      <c r="K17" s="46">
        <f t="shared" si="7"/>
        <v>23</v>
      </c>
      <c r="L17" s="31">
        <f t="shared" ref="L17:O17" si="8">IF(L16&lt;0,0,((L14/L13))*L16)</f>
        <v>145.17605633802816</v>
      </c>
      <c r="M17" s="31">
        <f t="shared" si="8"/>
        <v>212.40855614973262</v>
      </c>
      <c r="N17" s="31">
        <f t="shared" si="8"/>
        <v>345.06206896551726</v>
      </c>
      <c r="O17" s="42">
        <f t="shared" si="8"/>
        <v>588.66101694915255</v>
      </c>
      <c r="P17" s="40">
        <f t="shared" si="0"/>
        <v>3364.4086376014957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9">D11/D7</f>
        <v>35.677419354838712</v>
      </c>
      <c r="E20" s="4">
        <f t="shared" si="9"/>
        <v>33.310344827586206</v>
      </c>
      <c r="F20" s="4">
        <f t="shared" si="9"/>
        <v>25.838709677419356</v>
      </c>
      <c r="G20" s="4">
        <f t="shared" si="9"/>
        <v>24.066666666666666</v>
      </c>
      <c r="H20" s="4">
        <f t="shared" si="9"/>
        <v>14.903225806451612</v>
      </c>
      <c r="I20" s="4">
        <f t="shared" si="9"/>
        <v>12</v>
      </c>
      <c r="J20" s="4">
        <f t="shared" si="9"/>
        <v>8.0322580645161299</v>
      </c>
      <c r="K20" s="4">
        <f t="shared" si="9"/>
        <v>12.32258064516129</v>
      </c>
      <c r="L20" s="4">
        <f t="shared" si="9"/>
        <v>16.399999999999999</v>
      </c>
      <c r="M20" s="4">
        <f t="shared" si="9"/>
        <v>20.419354838709676</v>
      </c>
      <c r="N20" s="4">
        <f t="shared" si="9"/>
        <v>24.7</v>
      </c>
      <c r="O20" s="4">
        <f t="shared" si="9"/>
        <v>38.483870967741936</v>
      </c>
      <c r="P20" s="4">
        <f>P11/365</f>
        <v>22.210958904109589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0">SUM(D11)</f>
        <v>1106</v>
      </c>
      <c r="E21" s="4">
        <f t="shared" ref="E21:O21" si="11">SUM($D$11:E11)</f>
        <v>2072</v>
      </c>
      <c r="F21" s="4">
        <f t="shared" si="11"/>
        <v>2873</v>
      </c>
      <c r="G21" s="4">
        <f t="shared" si="11"/>
        <v>3595</v>
      </c>
      <c r="H21" s="4">
        <f t="shared" si="11"/>
        <v>4057</v>
      </c>
      <c r="I21" s="4">
        <f t="shared" si="11"/>
        <v>4417</v>
      </c>
      <c r="J21" s="4">
        <f t="shared" si="11"/>
        <v>4666</v>
      </c>
      <c r="K21" s="4">
        <f t="shared" si="11"/>
        <v>5048</v>
      </c>
      <c r="L21" s="4">
        <f t="shared" si="11"/>
        <v>5540</v>
      </c>
      <c r="M21" s="4">
        <f t="shared" si="11"/>
        <v>6173</v>
      </c>
      <c r="N21" s="4">
        <f t="shared" si="11"/>
        <v>6914</v>
      </c>
      <c r="O21" s="4">
        <f t="shared" si="11"/>
        <v>8107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0"/>
        <v>577</v>
      </c>
      <c r="E22" s="4">
        <f t="shared" ref="E22:O22" si="12">SUM($D$12:E12)</f>
        <v>1177</v>
      </c>
      <c r="F22" s="4">
        <f t="shared" si="12"/>
        <v>1523.5357142857142</v>
      </c>
      <c r="G22" s="4">
        <f t="shared" si="12"/>
        <v>1779.5357142857142</v>
      </c>
      <c r="H22" s="4">
        <f t="shared" si="12"/>
        <v>1863.5357142857142</v>
      </c>
      <c r="I22" s="4">
        <f t="shared" si="12"/>
        <v>1907.5357142857142</v>
      </c>
      <c r="J22" s="4">
        <f t="shared" si="12"/>
        <v>1956.1357142857141</v>
      </c>
      <c r="K22" s="4">
        <f t="shared" si="12"/>
        <v>1979.1357142857141</v>
      </c>
      <c r="L22" s="4">
        <f t="shared" si="12"/>
        <v>2074.1357142857141</v>
      </c>
      <c r="M22" s="4">
        <f t="shared" si="12"/>
        <v>2273.735714285714</v>
      </c>
      <c r="N22" s="4">
        <f t="shared" si="12"/>
        <v>2552.735714285714</v>
      </c>
      <c r="O22" s="4">
        <f t="shared" si="12"/>
        <v>3209.735714285714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583</v>
      </c>
      <c r="E23" s="4">
        <f t="shared" ref="E23:O23" si="13">SUM($D$16:E16)</f>
        <v>1213</v>
      </c>
      <c r="F23" s="4">
        <f t="shared" si="13"/>
        <v>1559.5357142857142</v>
      </c>
      <c r="G23" s="4">
        <f t="shared" si="13"/>
        <v>1815.5357142857142</v>
      </c>
      <c r="H23" s="4">
        <f t="shared" si="13"/>
        <v>1899.5357142857142</v>
      </c>
      <c r="I23" s="4">
        <f t="shared" si="13"/>
        <v>1943.5357142857142</v>
      </c>
      <c r="J23" s="4">
        <f t="shared" si="13"/>
        <v>1990.1357142857141</v>
      </c>
      <c r="K23" s="4">
        <f t="shared" si="13"/>
        <v>2013.1357142857141</v>
      </c>
      <c r="L23" s="4">
        <f t="shared" si="13"/>
        <v>2108.1357142857141</v>
      </c>
      <c r="M23" s="4">
        <f t="shared" si="13"/>
        <v>2307.735714285714</v>
      </c>
      <c r="N23" s="4">
        <f t="shared" si="13"/>
        <v>2586.735714285714</v>
      </c>
      <c r="O23" s="4">
        <f t="shared" si="13"/>
        <v>3249.735714285714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4">(D11-D12-D15)/D7</f>
        <v>12.080645161290322</v>
      </c>
      <c r="E24" s="4">
        <f t="shared" si="14"/>
        <v>9.2758620689655178</v>
      </c>
      <c r="F24" s="4">
        <f t="shared" si="14"/>
        <v>9.6182027649769584</v>
      </c>
      <c r="G24" s="4">
        <f t="shared" si="14"/>
        <v>10.066666666666666</v>
      </c>
      <c r="H24" s="4">
        <f t="shared" si="14"/>
        <v>7.612903225806452</v>
      </c>
      <c r="I24" s="4">
        <f t="shared" si="14"/>
        <v>7.2866666666666662</v>
      </c>
      <c r="J24" s="4">
        <f t="shared" si="14"/>
        <v>4.0225806451612902</v>
      </c>
      <c r="K24" s="4">
        <f t="shared" si="14"/>
        <v>7.4967741935483874</v>
      </c>
      <c r="L24" s="4">
        <f t="shared" si="14"/>
        <v>8.5333333333333332</v>
      </c>
      <c r="M24" s="4">
        <f t="shared" si="14"/>
        <v>8.6741935483870964</v>
      </c>
      <c r="N24" s="4">
        <f t="shared" si="14"/>
        <v>10.15</v>
      </c>
      <c r="O24" s="4">
        <f t="shared" si="14"/>
        <v>12.32258064516129</v>
      </c>
      <c r="P24" s="4">
        <f t="shared" si="14"/>
        <v>8.9255854800936767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D21+'2011'!$P$11-'2011'!D21</f>
        <v>8054</v>
      </c>
      <c r="E25" s="10">
        <f>E21+'2011'!$P$11-'2011'!E21</f>
        <v>7883</v>
      </c>
      <c r="F25" s="10">
        <f>F21+'2011'!$P$11-'2011'!F21</f>
        <v>7516</v>
      </c>
      <c r="G25" s="10">
        <f>G21+'2011'!$P$11-'2011'!G21</f>
        <v>7513</v>
      </c>
      <c r="H25" s="10">
        <f>H21+'2011'!$P$11-'2011'!H21</f>
        <v>7454</v>
      </c>
      <c r="I25" s="10">
        <f>I21+'2011'!$P$11-'2011'!I21</f>
        <v>7497</v>
      </c>
      <c r="J25" s="10">
        <f>J21+'2011'!$P$11-'2011'!J21</f>
        <v>7529</v>
      </c>
      <c r="K25" s="10">
        <f>K21+'2011'!$P$11-'2011'!K21</f>
        <v>7591</v>
      </c>
      <c r="L25" s="10">
        <f>L21+'2011'!$P$11-'2011'!L21</f>
        <v>7608</v>
      </c>
      <c r="M25" s="10">
        <f>M21+'2011'!$P$11-'2011'!M21</f>
        <v>7596</v>
      </c>
      <c r="N25" s="10">
        <f>N21+'2011'!$P$11-'2011'!N21</f>
        <v>7649</v>
      </c>
      <c r="O25" s="10">
        <f>O21+'2011'!$P$11-'2011'!O21</f>
        <v>8107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5">D16/D11</f>
        <v>0.52712477396021695</v>
      </c>
      <c r="E27" s="73">
        <f t="shared" si="15"/>
        <v>0.65217391304347827</v>
      </c>
      <c r="F27" s="73">
        <f t="shared" si="15"/>
        <v>0.43262885678616014</v>
      </c>
      <c r="G27" s="73">
        <f t="shared" si="15"/>
        <v>0.35457063711911357</v>
      </c>
      <c r="H27" s="73">
        <f t="shared" si="15"/>
        <v>0.18181818181818182</v>
      </c>
      <c r="I27" s="73">
        <f t="shared" si="15"/>
        <v>0.12222222222222222</v>
      </c>
      <c r="J27" s="73">
        <f t="shared" si="15"/>
        <v>0.18714859437751005</v>
      </c>
      <c r="K27" s="73">
        <f t="shared" si="15"/>
        <v>6.0209424083769635E-2</v>
      </c>
      <c r="L27" s="73">
        <f t="shared" si="15"/>
        <v>0.19308943089430894</v>
      </c>
      <c r="M27" s="73">
        <f t="shared" si="15"/>
        <v>0.31532385466034757</v>
      </c>
      <c r="N27" s="73">
        <f t="shared" si="15"/>
        <v>0.37651821862348178</v>
      </c>
      <c r="O27" s="73">
        <f t="shared" si="15"/>
        <v>0.55574182732606869</v>
      </c>
      <c r="P27" s="73">
        <f t="shared" si="15"/>
        <v>0.40085552168320143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234</v>
      </c>
      <c r="D28" s="4">
        <f t="shared" ref="D28:H28" si="16">D16/D13</f>
        <v>0.81311018131101809</v>
      </c>
      <c r="E28" s="4">
        <f t="shared" si="16"/>
        <v>0.84112149532710279</v>
      </c>
      <c r="F28" s="4">
        <f t="shared" si="16"/>
        <v>0.63701418067226889</v>
      </c>
      <c r="G28" s="4">
        <f t="shared" si="16"/>
        <v>0.63840399002493764</v>
      </c>
      <c r="H28" s="4">
        <f t="shared" si="16"/>
        <v>0.61764705882352944</v>
      </c>
      <c r="I28" s="52"/>
      <c r="J28" s="52"/>
      <c r="K28" s="52"/>
      <c r="L28" s="4">
        <f t="shared" ref="L28:P28" si="17">L16/L13</f>
        <v>0.66901408450704225</v>
      </c>
      <c r="M28" s="4">
        <f t="shared" si="17"/>
        <v>0.53368983957219251</v>
      </c>
      <c r="N28" s="4">
        <f t="shared" si="17"/>
        <v>0.64137931034482754</v>
      </c>
      <c r="O28" s="4">
        <f t="shared" si="17"/>
        <v>0.86440677966101698</v>
      </c>
      <c r="P28" s="4">
        <f t="shared" si="17"/>
        <v>0.7522536375661375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8">D16/D7</f>
        <v>18.806451612903224</v>
      </c>
      <c r="E29" s="4">
        <f t="shared" si="18"/>
        <v>21.724137931034484</v>
      </c>
      <c r="F29" s="4">
        <f t="shared" si="18"/>
        <v>11.178571428571429</v>
      </c>
      <c r="G29" s="4">
        <f t="shared" si="18"/>
        <v>8.5333333333333332</v>
      </c>
      <c r="H29" s="4">
        <f t="shared" si="18"/>
        <v>2.7096774193548385</v>
      </c>
      <c r="I29" s="4">
        <f t="shared" si="18"/>
        <v>1.4666666666666666</v>
      </c>
      <c r="J29" s="4">
        <f t="shared" si="18"/>
        <v>1.5032258064516129</v>
      </c>
      <c r="K29" s="4">
        <f t="shared" si="18"/>
        <v>0.74193548387096775</v>
      </c>
      <c r="L29" s="4">
        <f t="shared" si="18"/>
        <v>3.1666666666666665</v>
      </c>
      <c r="M29" s="4">
        <f t="shared" si="18"/>
        <v>6.4387096774193546</v>
      </c>
      <c r="N29" s="4">
        <f t="shared" si="18"/>
        <v>9.3000000000000007</v>
      </c>
      <c r="O29" s="4">
        <f t="shared" si="18"/>
        <v>21.387096774193548</v>
      </c>
      <c r="P29" s="4">
        <f t="shared" si="18"/>
        <v>8.8790593286494914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9">D17/D7</f>
        <v>19.488414990776981</v>
      </c>
      <c r="E30" s="4">
        <f t="shared" si="19"/>
        <v>20.099903319368352</v>
      </c>
      <c r="F30" s="4">
        <f t="shared" si="19"/>
        <v>12.760832457983193</v>
      </c>
      <c r="G30" s="4">
        <f t="shared" si="19"/>
        <v>8.9802161263507898</v>
      </c>
      <c r="H30" s="4">
        <f t="shared" si="19"/>
        <v>3.4667931688804554</v>
      </c>
      <c r="I30" s="4">
        <f t="shared" si="19"/>
        <v>1.4666666666666666</v>
      </c>
      <c r="J30" s="4">
        <f t="shared" si="19"/>
        <v>1.5032258064516129</v>
      </c>
      <c r="K30" s="4">
        <f t="shared" si="19"/>
        <v>0.74193548387096775</v>
      </c>
      <c r="L30" s="4">
        <f t="shared" si="19"/>
        <v>4.839201877934272</v>
      </c>
      <c r="M30" s="4">
        <f t="shared" si="19"/>
        <v>6.8518889080558907</v>
      </c>
      <c r="N30" s="4">
        <f t="shared" si="19"/>
        <v>11.502068965517243</v>
      </c>
      <c r="O30" s="4">
        <f t="shared" si="19"/>
        <v>18.989065062875888</v>
      </c>
      <c r="P30" s="4">
        <f t="shared" si="19"/>
        <v>9.1923733267800429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235</v>
      </c>
      <c r="D31" s="4">
        <f t="shared" ref="D31:P31" si="20">D16/$F$4</f>
        <v>2.4098875661375661</v>
      </c>
      <c r="E31" s="4">
        <f t="shared" si="20"/>
        <v>2.6041666666666665</v>
      </c>
      <c r="F31" s="4">
        <f t="shared" si="20"/>
        <v>1.4324392951625093</v>
      </c>
      <c r="G31" s="4">
        <f t="shared" si="20"/>
        <v>1.0582010582010581</v>
      </c>
      <c r="H31" s="4">
        <f t="shared" si="20"/>
        <v>0.34722222222222221</v>
      </c>
      <c r="I31" s="4">
        <f t="shared" si="20"/>
        <v>0.18187830687830686</v>
      </c>
      <c r="J31" s="4">
        <f t="shared" si="20"/>
        <v>0.19262566137566137</v>
      </c>
      <c r="K31" s="4">
        <f t="shared" si="20"/>
        <v>9.5072751322751323E-2</v>
      </c>
      <c r="L31" s="4">
        <f t="shared" si="20"/>
        <v>0.3926917989417989</v>
      </c>
      <c r="M31" s="4">
        <f t="shared" si="20"/>
        <v>0.82506613756613745</v>
      </c>
      <c r="N31" s="4">
        <f t="shared" si="20"/>
        <v>1.1532738095238095</v>
      </c>
      <c r="O31" s="4">
        <f t="shared" si="20"/>
        <v>2.7405753968253967</v>
      </c>
      <c r="P31" s="4">
        <f t="shared" si="20"/>
        <v>13.433100670823883</v>
      </c>
      <c r="Q31" s="2"/>
      <c r="R31" s="2"/>
      <c r="S31" s="2"/>
      <c r="T31" s="4">
        <f>T16/$F$4</f>
        <v>14.755851993575206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236</v>
      </c>
      <c r="D32" s="4">
        <f t="shared" ref="D32:P32" si="21">D16/$F$3</f>
        <v>6.072916666666667</v>
      </c>
      <c r="E32" s="4">
        <f t="shared" si="21"/>
        <v>6.5625</v>
      </c>
      <c r="F32" s="4">
        <f t="shared" si="21"/>
        <v>3.6097470238095237</v>
      </c>
      <c r="G32" s="4">
        <f t="shared" si="21"/>
        <v>2.6666666666666665</v>
      </c>
      <c r="H32" s="4">
        <f t="shared" si="21"/>
        <v>0.875</v>
      </c>
      <c r="I32" s="4">
        <f t="shared" si="21"/>
        <v>0.45833333333333331</v>
      </c>
      <c r="J32" s="4">
        <f t="shared" si="21"/>
        <v>0.48541666666666666</v>
      </c>
      <c r="K32" s="4">
        <f t="shared" si="21"/>
        <v>0.23958333333333334</v>
      </c>
      <c r="L32" s="4">
        <f t="shared" si="21"/>
        <v>0.98958333333333337</v>
      </c>
      <c r="M32" s="4">
        <f t="shared" si="21"/>
        <v>2.0791666666666666</v>
      </c>
      <c r="N32" s="4">
        <f t="shared" si="21"/>
        <v>2.90625</v>
      </c>
      <c r="O32" s="4">
        <f t="shared" si="21"/>
        <v>6.90625</v>
      </c>
      <c r="P32" s="4">
        <f t="shared" si="21"/>
        <v>33.851413690476186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237</v>
      </c>
      <c r="D33" s="4">
        <f t="shared" ref="D33:P33" si="22">D17/$F$4</f>
        <v>2.4972753997771426</v>
      </c>
      <c r="E33" s="4">
        <f t="shared" si="22"/>
        <v>2.4094626168224296</v>
      </c>
      <c r="F33" s="4">
        <f t="shared" si="22"/>
        <v>1.6351926512792616</v>
      </c>
      <c r="G33" s="4">
        <f t="shared" si="22"/>
        <v>1.1136180712240562</v>
      </c>
      <c r="H33" s="4">
        <f t="shared" si="22"/>
        <v>0.44424019607843135</v>
      </c>
      <c r="I33" s="4">
        <f t="shared" si="22"/>
        <v>0.18187830687830686</v>
      </c>
      <c r="J33" s="4">
        <f t="shared" si="22"/>
        <v>0.19262566137566137</v>
      </c>
      <c r="K33" s="4">
        <f t="shared" si="22"/>
        <v>9.5072751322751323E-2</v>
      </c>
      <c r="L33" s="4">
        <f t="shared" si="22"/>
        <v>0.60009943922796027</v>
      </c>
      <c r="M33" s="4">
        <f t="shared" si="22"/>
        <v>0.87801155815861687</v>
      </c>
      <c r="N33" s="4">
        <f t="shared" si="22"/>
        <v>1.426347837985769</v>
      </c>
      <c r="O33" s="4">
        <f t="shared" si="22"/>
        <v>2.4332879338175948</v>
      </c>
      <c r="P33" s="4">
        <f t="shared" si="22"/>
        <v>13.90711242394798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238</v>
      </c>
      <c r="D34" s="4">
        <f t="shared" ref="D34:P34" si="23">D17/$F$3</f>
        <v>6.2931340074384003</v>
      </c>
      <c r="E34" s="4">
        <f t="shared" si="23"/>
        <v>6.071845794392523</v>
      </c>
      <c r="F34" s="4">
        <f t="shared" si="23"/>
        <v>4.120685481223739</v>
      </c>
      <c r="G34" s="4">
        <f t="shared" si="23"/>
        <v>2.8063175394846218</v>
      </c>
      <c r="H34" s="4">
        <f t="shared" si="23"/>
        <v>1.119485294117647</v>
      </c>
      <c r="I34" s="4">
        <f t="shared" si="23"/>
        <v>0.45833333333333331</v>
      </c>
      <c r="J34" s="4">
        <f t="shared" si="23"/>
        <v>0.48541666666666666</v>
      </c>
      <c r="K34" s="4">
        <f t="shared" si="23"/>
        <v>0.23958333333333334</v>
      </c>
      <c r="L34" s="4">
        <f t="shared" si="23"/>
        <v>1.51225058685446</v>
      </c>
      <c r="M34" s="4">
        <f t="shared" si="23"/>
        <v>2.2125891265597146</v>
      </c>
      <c r="N34" s="4">
        <f t="shared" si="23"/>
        <v>3.5943965517241381</v>
      </c>
      <c r="O34" s="4">
        <f t="shared" si="23"/>
        <v>6.1318855932203391</v>
      </c>
      <c r="P34" s="4">
        <f t="shared" si="23"/>
        <v>35.045923308348911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239</v>
      </c>
      <c r="D35" s="4">
        <f t="shared" ref="D35:H35" si="24">1000*D31/D13</f>
        <v>3.3610705245991155</v>
      </c>
      <c r="E35" s="4">
        <f t="shared" si="24"/>
        <v>3.4768580329327992</v>
      </c>
      <c r="F35" s="4">
        <f t="shared" si="24"/>
        <v>2.6331604690487302</v>
      </c>
      <c r="G35" s="4">
        <f t="shared" si="24"/>
        <v>2.6389053820475268</v>
      </c>
      <c r="H35" s="4">
        <f t="shared" si="24"/>
        <v>2.5531045751633989</v>
      </c>
      <c r="I35" s="52"/>
      <c r="J35" s="52"/>
      <c r="K35" s="52"/>
      <c r="L35" s="4">
        <f t="shared" ref="L35:P35" si="25">1000*L31/L13</f>
        <v>2.765435203815485</v>
      </c>
      <c r="M35" s="4">
        <f t="shared" si="25"/>
        <v>2.2060591913533085</v>
      </c>
      <c r="N35" s="4">
        <f t="shared" si="25"/>
        <v>2.6512041598248497</v>
      </c>
      <c r="O35" s="4">
        <f t="shared" si="25"/>
        <v>3.5731100349744414</v>
      </c>
      <c r="P35" s="4">
        <f t="shared" si="25"/>
        <v>3.1095140441721951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7500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4200</v>
      </c>
      <c r="L40" s="8" t="s">
        <v>30</v>
      </c>
      <c r="M40" s="4"/>
      <c r="N40" s="10">
        <f>SUM(D40:D41,K39)</f>
        <v>11992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0.56000000000000005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7792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0.35023348899266177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240</v>
      </c>
      <c r="H3" s="8" t="s">
        <v>6</v>
      </c>
      <c r="I3" s="4"/>
      <c r="J3" s="4"/>
      <c r="K3" s="4">
        <v>12</v>
      </c>
      <c r="L3" s="8" t="s">
        <v>7</v>
      </c>
      <c r="M3" s="8" t="s">
        <v>8</v>
      </c>
      <c r="N3" s="4"/>
      <c r="O3" s="9">
        <f>SUM(I11:K11)/92</f>
        <v>9.2826086956521738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241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2011</v>
      </c>
      <c r="B8" s="25" t="s">
        <v>27</v>
      </c>
      <c r="C8" s="26" t="s">
        <v>242</v>
      </c>
      <c r="D8" s="27">
        <v>-6.8</v>
      </c>
      <c r="E8" s="27">
        <v>-12.7</v>
      </c>
      <c r="F8" s="27">
        <v>-2.5</v>
      </c>
      <c r="G8" s="27">
        <v>5.2</v>
      </c>
      <c r="H8" s="27">
        <v>10.1</v>
      </c>
      <c r="I8" s="27">
        <v>16.600000000000001</v>
      </c>
      <c r="J8" s="27">
        <v>20</v>
      </c>
      <c r="K8" s="27">
        <v>15.6</v>
      </c>
      <c r="L8" s="27">
        <v>11.5</v>
      </c>
      <c r="M8" s="27">
        <v>6.2</v>
      </c>
      <c r="N8" s="27">
        <v>2.8</v>
      </c>
      <c r="O8" s="28">
        <v>0.4</v>
      </c>
      <c r="P8" s="27">
        <f>AVERAGE(D8:O8)</f>
        <v>5.5333333333333341</v>
      </c>
      <c r="Q8" s="2"/>
      <c r="R8" s="2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2011</v>
      </c>
      <c r="B9" s="25" t="s">
        <v>29</v>
      </c>
      <c r="C9" s="30" t="s">
        <v>30</v>
      </c>
      <c r="D9" s="31">
        <v>601</v>
      </c>
      <c r="E9" s="31">
        <v>651</v>
      </c>
      <c r="F9" s="31">
        <v>688</v>
      </c>
      <c r="G9" s="31">
        <v>375</v>
      </c>
      <c r="H9" s="31">
        <v>248</v>
      </c>
      <c r="I9" s="31">
        <v>148</v>
      </c>
      <c r="J9" s="31">
        <v>103</v>
      </c>
      <c r="K9" s="31">
        <v>159</v>
      </c>
      <c r="L9" s="31">
        <v>251</v>
      </c>
      <c r="M9" s="31">
        <v>359</v>
      </c>
      <c r="N9" s="31">
        <v>390</v>
      </c>
      <c r="O9" s="42">
        <v>427</v>
      </c>
      <c r="P9" s="31">
        <f t="shared" ref="P9:P17" si="0">SUM(D9:O9)</f>
        <v>4400</v>
      </c>
      <c r="Q9" s="2"/>
      <c r="R9" s="34">
        <f t="shared" ref="R9:R12" si="1">O9/$O$11</f>
        <v>0.580952380952381</v>
      </c>
      <c r="S9" s="34">
        <f t="shared" ref="S9:S12" si="2">P9/$P$11</f>
        <v>0.55055055055055058</v>
      </c>
      <c r="T9" s="29">
        <f>P9+SUM('2010'!O9)</f>
        <v>5169</v>
      </c>
      <c r="U9" s="29"/>
      <c r="V9" s="34">
        <f t="shared" ref="V9:V10" si="3">T9/$T$11</f>
        <v>0.55622511567846766</v>
      </c>
      <c r="W9" s="36"/>
      <c r="X9" s="2"/>
      <c r="Y9" s="2"/>
      <c r="Z9" s="2"/>
    </row>
    <row r="10" spans="1:26" ht="12.75" customHeight="1" x14ac:dyDescent="0.25">
      <c r="A10" s="24">
        <v>2011</v>
      </c>
      <c r="B10" s="25" t="s">
        <v>31</v>
      </c>
      <c r="C10" s="30" t="s">
        <v>30</v>
      </c>
      <c r="D10" s="31">
        <v>443</v>
      </c>
      <c r="E10" s="31">
        <v>486</v>
      </c>
      <c r="F10" s="31">
        <v>480</v>
      </c>
      <c r="G10" s="31">
        <v>350</v>
      </c>
      <c r="H10" s="31">
        <v>273</v>
      </c>
      <c r="I10" s="31">
        <v>169</v>
      </c>
      <c r="J10" s="31">
        <v>114</v>
      </c>
      <c r="K10" s="31">
        <v>161</v>
      </c>
      <c r="L10" s="31">
        <v>224</v>
      </c>
      <c r="M10" s="31">
        <v>286</v>
      </c>
      <c r="N10" s="31">
        <v>298</v>
      </c>
      <c r="O10" s="42">
        <v>308</v>
      </c>
      <c r="P10" s="31">
        <f t="shared" si="0"/>
        <v>3592</v>
      </c>
      <c r="Q10" s="39"/>
      <c r="R10" s="34">
        <f t="shared" si="1"/>
        <v>0.41904761904761906</v>
      </c>
      <c r="S10" s="34">
        <f t="shared" si="2"/>
        <v>0.44944944944944942</v>
      </c>
      <c r="T10" s="29">
        <f>P10+SUM('2010'!O10)</f>
        <v>4124</v>
      </c>
      <c r="U10" s="29"/>
      <c r="V10" s="34">
        <f t="shared" si="3"/>
        <v>0.44377488432153234</v>
      </c>
      <c r="W10" s="36"/>
      <c r="X10" s="2"/>
      <c r="Y10" s="2"/>
      <c r="Z10" s="2"/>
    </row>
    <row r="11" spans="1:26" ht="12.75" customHeight="1" x14ac:dyDescent="0.25">
      <c r="A11" s="24">
        <v>2011</v>
      </c>
      <c r="B11" s="25" t="s">
        <v>32</v>
      </c>
      <c r="C11" s="30" t="s">
        <v>30</v>
      </c>
      <c r="D11" s="31">
        <f t="shared" ref="D11:O11" si="4">SUM(D9:D10)</f>
        <v>1044</v>
      </c>
      <c r="E11" s="31">
        <f t="shared" si="4"/>
        <v>1137</v>
      </c>
      <c r="F11" s="31">
        <f t="shared" si="4"/>
        <v>1168</v>
      </c>
      <c r="G11" s="31">
        <f t="shared" si="4"/>
        <v>725</v>
      </c>
      <c r="H11" s="31">
        <f t="shared" si="4"/>
        <v>521</v>
      </c>
      <c r="I11" s="31">
        <f t="shared" si="4"/>
        <v>317</v>
      </c>
      <c r="J11" s="31">
        <f t="shared" si="4"/>
        <v>217</v>
      </c>
      <c r="K11" s="31">
        <f t="shared" si="4"/>
        <v>320</v>
      </c>
      <c r="L11" s="31">
        <f t="shared" si="4"/>
        <v>475</v>
      </c>
      <c r="M11" s="31">
        <f t="shared" si="4"/>
        <v>645</v>
      </c>
      <c r="N11" s="31">
        <f t="shared" si="4"/>
        <v>688</v>
      </c>
      <c r="O11" s="42">
        <f t="shared" si="4"/>
        <v>735</v>
      </c>
      <c r="P11" s="40">
        <f t="shared" si="0"/>
        <v>7992</v>
      </c>
      <c r="Q11" s="39"/>
      <c r="R11" s="34">
        <f t="shared" si="1"/>
        <v>1</v>
      </c>
      <c r="S11" s="34">
        <f t="shared" si="2"/>
        <v>1</v>
      </c>
      <c r="T11" s="29">
        <f>P11+SUM('2010'!O11)</f>
        <v>9293</v>
      </c>
      <c r="U11" s="29"/>
      <c r="V11" s="2"/>
      <c r="W11" s="36"/>
      <c r="X11" s="2"/>
      <c r="Y11" s="2"/>
      <c r="Z11" s="2"/>
    </row>
    <row r="12" spans="1:26" ht="12.75" customHeight="1" x14ac:dyDescent="0.25">
      <c r="A12" s="24">
        <v>2011</v>
      </c>
      <c r="B12" s="25" t="s">
        <v>33</v>
      </c>
      <c r="C12" s="30" t="s">
        <v>30</v>
      </c>
      <c r="D12" s="31">
        <v>422</v>
      </c>
      <c r="E12" s="31">
        <v>436</v>
      </c>
      <c r="F12" s="31">
        <v>69</v>
      </c>
      <c r="G12" s="31">
        <v>232.6</v>
      </c>
      <c r="H12" s="31">
        <v>115</v>
      </c>
      <c r="I12" s="31">
        <v>23</v>
      </c>
      <c r="J12" s="31">
        <v>7.5</v>
      </c>
      <c r="K12" s="31">
        <v>4.8</v>
      </c>
      <c r="L12" s="31">
        <v>76.400000000000006</v>
      </c>
      <c r="M12" s="31">
        <v>201</v>
      </c>
      <c r="N12" s="31">
        <v>263.3</v>
      </c>
      <c r="O12" s="42">
        <v>320</v>
      </c>
      <c r="P12" s="31">
        <f t="shared" si="0"/>
        <v>2170.6</v>
      </c>
      <c r="Q12" s="39"/>
      <c r="R12" s="34">
        <f t="shared" si="1"/>
        <v>0.43537414965986393</v>
      </c>
      <c r="S12" s="34">
        <f t="shared" si="2"/>
        <v>0.27159659659659657</v>
      </c>
      <c r="T12" s="29">
        <f>P12+SUM('2010'!O12)</f>
        <v>2718.6</v>
      </c>
      <c r="U12" s="29"/>
      <c r="V12" s="2"/>
      <c r="W12" s="36"/>
      <c r="X12" s="11">
        <f>SUM(G12:O12)</f>
        <v>1243.6000000000001</v>
      </c>
      <c r="Y12" s="2"/>
      <c r="Z12" s="2"/>
    </row>
    <row r="13" spans="1:26" ht="12.75" customHeight="1" x14ac:dyDescent="0.25">
      <c r="A13" s="24">
        <v>2011</v>
      </c>
      <c r="B13" s="41" t="s">
        <v>36</v>
      </c>
      <c r="C13" s="26" t="s">
        <v>243</v>
      </c>
      <c r="D13" s="31">
        <v>717</v>
      </c>
      <c r="E13" s="31">
        <v>821</v>
      </c>
      <c r="F13" s="42">
        <v>590</v>
      </c>
      <c r="G13" s="31">
        <v>321</v>
      </c>
      <c r="H13" s="42">
        <v>117</v>
      </c>
      <c r="I13" s="31">
        <v>0</v>
      </c>
      <c r="J13" s="31">
        <v>0</v>
      </c>
      <c r="K13" s="31">
        <v>0</v>
      </c>
      <c r="L13" s="31">
        <v>73</v>
      </c>
      <c r="M13" s="31">
        <v>318</v>
      </c>
      <c r="N13" s="31">
        <v>401</v>
      </c>
      <c r="O13" s="42">
        <v>491</v>
      </c>
      <c r="P13" s="31">
        <f t="shared" si="0"/>
        <v>3849</v>
      </c>
      <c r="Q13" s="36"/>
      <c r="R13" s="34"/>
      <c r="S13" s="2"/>
      <c r="T13" s="29">
        <f>P13+SUM('2010'!O13)</f>
        <v>4687</v>
      </c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2011</v>
      </c>
      <c r="B14" s="41" t="s">
        <v>39</v>
      </c>
      <c r="C14" s="26" t="s">
        <v>244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>
        <f>(P14-P13)/P14</f>
        <v>0.15499451152579583</v>
      </c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2011</v>
      </c>
      <c r="B15" s="25" t="s">
        <v>41</v>
      </c>
      <c r="C15" s="30" t="s">
        <v>30</v>
      </c>
      <c r="D15" s="31">
        <v>132</v>
      </c>
      <c r="E15" s="31">
        <v>116.6</v>
      </c>
      <c r="F15" s="31">
        <v>105.3</v>
      </c>
      <c r="G15" s="31">
        <v>142</v>
      </c>
      <c r="H15" s="31">
        <v>138</v>
      </c>
      <c r="I15" s="31">
        <v>98.7</v>
      </c>
      <c r="J15" s="31">
        <v>69</v>
      </c>
      <c r="K15" s="31">
        <v>100.69</v>
      </c>
      <c r="L15" s="31">
        <v>135</v>
      </c>
      <c r="M15" s="31">
        <f>139</f>
        <v>139</v>
      </c>
      <c r="N15" s="31">
        <v>135</v>
      </c>
      <c r="O15" s="42">
        <v>119</v>
      </c>
      <c r="P15" s="31">
        <f t="shared" si="0"/>
        <v>1430.29</v>
      </c>
      <c r="Q15" s="2"/>
      <c r="R15" s="2"/>
      <c r="S15" s="2"/>
      <c r="T15" s="29">
        <f>P15+SUM('2010'!O15)</f>
        <v>1569.8899999999999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2011</v>
      </c>
      <c r="B16" s="25" t="s">
        <v>42</v>
      </c>
      <c r="C16" s="30" t="s">
        <v>30</v>
      </c>
      <c r="D16" s="31">
        <f t="shared" ref="D16:F16" si="5">D11-D15-D7*($K$3)</f>
        <v>540</v>
      </c>
      <c r="E16" s="31">
        <f t="shared" si="5"/>
        <v>684.4</v>
      </c>
      <c r="F16" s="31">
        <f t="shared" si="5"/>
        <v>690.7</v>
      </c>
      <c r="G16" s="31">
        <f t="shared" ref="G16:H16" si="6">G12</f>
        <v>232.6</v>
      </c>
      <c r="H16" s="31">
        <f t="shared" si="6"/>
        <v>115</v>
      </c>
      <c r="I16" s="46">
        <f>I12-5</f>
        <v>18</v>
      </c>
      <c r="J16" s="46">
        <v>0</v>
      </c>
      <c r="K16" s="46">
        <v>4.8</v>
      </c>
      <c r="L16" s="31">
        <f t="shared" ref="L16:O16" si="7">L12</f>
        <v>76.400000000000006</v>
      </c>
      <c r="M16" s="31">
        <f t="shared" si="7"/>
        <v>201</v>
      </c>
      <c r="N16" s="31">
        <f t="shared" si="7"/>
        <v>263.3</v>
      </c>
      <c r="O16" s="31">
        <f t="shared" si="7"/>
        <v>320</v>
      </c>
      <c r="P16" s="31">
        <f t="shared" si="0"/>
        <v>3146.2000000000007</v>
      </c>
      <c r="Q16" s="11">
        <f>P11-P15-P16</f>
        <v>3415.5099999999993</v>
      </c>
      <c r="R16" s="39"/>
      <c r="S16" s="2"/>
      <c r="T16" s="29">
        <f>P16+SUM('2010'!O16)</f>
        <v>3997.6000000000008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2011</v>
      </c>
      <c r="B17" s="25" t="s">
        <v>43</v>
      </c>
      <c r="C17" s="30" t="s">
        <v>30</v>
      </c>
      <c r="D17" s="31">
        <f t="shared" ref="D17:H17" si="8">IF(D16&lt;0,0,((D14/D13))*D16)</f>
        <v>559.58158995815904</v>
      </c>
      <c r="E17" s="31">
        <f t="shared" si="8"/>
        <v>577.69695493300856</v>
      </c>
      <c r="F17" s="31">
        <f t="shared" si="8"/>
        <v>726.99101694915259</v>
      </c>
      <c r="G17" s="31">
        <f t="shared" si="8"/>
        <v>305.78566978193146</v>
      </c>
      <c r="H17" s="31">
        <f t="shared" si="8"/>
        <v>171.02564102564102</v>
      </c>
      <c r="I17" s="46">
        <f t="shared" ref="I17:K17" si="9">I16</f>
        <v>18</v>
      </c>
      <c r="J17" s="46">
        <f t="shared" si="9"/>
        <v>0</v>
      </c>
      <c r="K17" s="46">
        <f t="shared" si="9"/>
        <v>4.8</v>
      </c>
      <c r="L17" s="31">
        <f t="shared" ref="L17:O17" si="10">IF(L16&lt;0,0,((L14/L13))*L16)</f>
        <v>227.1068493150685</v>
      </c>
      <c r="M17" s="31">
        <f t="shared" si="10"/>
        <v>251.56603773584905</v>
      </c>
      <c r="N17" s="31">
        <f t="shared" si="10"/>
        <v>353.25536159600995</v>
      </c>
      <c r="O17" s="42">
        <f t="shared" si="10"/>
        <v>443.82892057026476</v>
      </c>
      <c r="P17" s="40">
        <f t="shared" si="0"/>
        <v>3639.6380418650856</v>
      </c>
      <c r="Q17" s="47"/>
      <c r="R17" s="2"/>
      <c r="S17" s="2"/>
      <c r="T17" s="29">
        <f>P17+SUM('2010'!O17)</f>
        <v>4331.5275406717683</v>
      </c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>
        <f>SUM(I15:K15)/92</f>
        <v>2.9172826086956518</v>
      </c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1">D11/D7</f>
        <v>33.677419354838712</v>
      </c>
      <c r="E20" s="4">
        <f t="shared" si="11"/>
        <v>40.607142857142854</v>
      </c>
      <c r="F20" s="4">
        <f t="shared" si="11"/>
        <v>37.677419354838712</v>
      </c>
      <c r="G20" s="4">
        <f t="shared" si="11"/>
        <v>24.166666666666668</v>
      </c>
      <c r="H20" s="4">
        <f t="shared" si="11"/>
        <v>16.806451612903224</v>
      </c>
      <c r="I20" s="4">
        <f t="shared" si="11"/>
        <v>10.566666666666666</v>
      </c>
      <c r="J20" s="4">
        <f t="shared" si="11"/>
        <v>7</v>
      </c>
      <c r="K20" s="4">
        <f t="shared" si="11"/>
        <v>10.32258064516129</v>
      </c>
      <c r="L20" s="4">
        <f t="shared" si="11"/>
        <v>15.833333333333334</v>
      </c>
      <c r="M20" s="4">
        <f t="shared" si="11"/>
        <v>20.806451612903224</v>
      </c>
      <c r="N20" s="4">
        <f t="shared" si="11"/>
        <v>22.933333333333334</v>
      </c>
      <c r="O20" s="4">
        <f t="shared" si="11"/>
        <v>23.70967741935484</v>
      </c>
      <c r="P20" s="4">
        <f>P10/365</f>
        <v>9.8410958904109584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2">SUM(D11)</f>
        <v>1044</v>
      </c>
      <c r="E21" s="4">
        <f t="shared" ref="E21:O21" si="13">SUM($D$11:E11)</f>
        <v>2181</v>
      </c>
      <c r="F21" s="4">
        <f t="shared" si="13"/>
        <v>3349</v>
      </c>
      <c r="G21" s="4">
        <f t="shared" si="13"/>
        <v>4074</v>
      </c>
      <c r="H21" s="4">
        <f t="shared" si="13"/>
        <v>4595</v>
      </c>
      <c r="I21" s="4">
        <f t="shared" si="13"/>
        <v>4912</v>
      </c>
      <c r="J21" s="4">
        <f t="shared" si="13"/>
        <v>5129</v>
      </c>
      <c r="K21" s="4">
        <f t="shared" si="13"/>
        <v>5449</v>
      </c>
      <c r="L21" s="4">
        <f t="shared" si="13"/>
        <v>5924</v>
      </c>
      <c r="M21" s="4">
        <f t="shared" si="13"/>
        <v>6569</v>
      </c>
      <c r="N21" s="4">
        <f t="shared" si="13"/>
        <v>7257</v>
      </c>
      <c r="O21" s="4">
        <f t="shared" si="13"/>
        <v>7992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2"/>
        <v>422</v>
      </c>
      <c r="E22" s="4">
        <f t="shared" ref="E22:O22" si="14">SUM($D$12:E12)</f>
        <v>858</v>
      </c>
      <c r="F22" s="4">
        <f t="shared" si="14"/>
        <v>927</v>
      </c>
      <c r="G22" s="4">
        <f t="shared" si="14"/>
        <v>1159.5999999999999</v>
      </c>
      <c r="H22" s="4">
        <f t="shared" si="14"/>
        <v>1274.5999999999999</v>
      </c>
      <c r="I22" s="4">
        <f t="shared" si="14"/>
        <v>1297.5999999999999</v>
      </c>
      <c r="J22" s="4">
        <f t="shared" si="14"/>
        <v>1305.0999999999999</v>
      </c>
      <c r="K22" s="4">
        <f t="shared" si="14"/>
        <v>1309.8999999999999</v>
      </c>
      <c r="L22" s="4">
        <f t="shared" si="14"/>
        <v>1386.3</v>
      </c>
      <c r="M22" s="4">
        <f t="shared" si="14"/>
        <v>1587.3</v>
      </c>
      <c r="N22" s="4">
        <f t="shared" si="14"/>
        <v>1850.6</v>
      </c>
      <c r="O22" s="4">
        <f t="shared" si="14"/>
        <v>2170.6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540</v>
      </c>
      <c r="E23" s="4">
        <f t="shared" ref="E23:O23" si="15">SUM($D$16:E16)</f>
        <v>1224.4000000000001</v>
      </c>
      <c r="F23" s="4">
        <f t="shared" si="15"/>
        <v>1915.1000000000001</v>
      </c>
      <c r="G23" s="4">
        <f t="shared" si="15"/>
        <v>2147.7000000000003</v>
      </c>
      <c r="H23" s="4">
        <f t="shared" si="15"/>
        <v>2262.7000000000003</v>
      </c>
      <c r="I23" s="4">
        <f t="shared" si="15"/>
        <v>2280.7000000000003</v>
      </c>
      <c r="J23" s="4">
        <f t="shared" si="15"/>
        <v>2280.7000000000003</v>
      </c>
      <c r="K23" s="4">
        <f t="shared" si="15"/>
        <v>2285.5000000000005</v>
      </c>
      <c r="L23" s="4">
        <f t="shared" si="15"/>
        <v>2361.9000000000005</v>
      </c>
      <c r="M23" s="4">
        <f t="shared" si="15"/>
        <v>2562.9000000000005</v>
      </c>
      <c r="N23" s="4">
        <f t="shared" si="15"/>
        <v>2826.2000000000007</v>
      </c>
      <c r="O23" s="4">
        <f t="shared" si="15"/>
        <v>3146.2000000000007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6">(D11-D12-D15)/D7</f>
        <v>15.806451612903226</v>
      </c>
      <c r="E24" s="4">
        <f t="shared" si="16"/>
        <v>20.87142857142857</v>
      </c>
      <c r="F24" s="4">
        <f t="shared" si="16"/>
        <v>32.054838709677419</v>
      </c>
      <c r="G24" s="4">
        <f t="shared" si="16"/>
        <v>11.68</v>
      </c>
      <c r="H24" s="4">
        <f t="shared" si="16"/>
        <v>8.6451612903225801</v>
      </c>
      <c r="I24" s="4">
        <f t="shared" si="16"/>
        <v>6.5100000000000007</v>
      </c>
      <c r="J24" s="4">
        <f t="shared" si="16"/>
        <v>4.532258064516129</v>
      </c>
      <c r="K24" s="4">
        <f t="shared" si="16"/>
        <v>6.919677419354838</v>
      </c>
      <c r="L24" s="4">
        <f t="shared" si="16"/>
        <v>8.7866666666666671</v>
      </c>
      <c r="M24" s="4">
        <f t="shared" si="16"/>
        <v>9.8387096774193541</v>
      </c>
      <c r="N24" s="4">
        <f t="shared" si="16"/>
        <v>9.6566666666666663</v>
      </c>
      <c r="O24" s="4">
        <f t="shared" si="16"/>
        <v>9.5483870967741939</v>
      </c>
      <c r="P24" s="4">
        <f t="shared" si="16"/>
        <v>12.030438356164384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D21+'2010'!$P$11-'2010'!D21</f>
        <v>8351</v>
      </c>
      <c r="E25" s="10">
        <f>E21+'2010'!$P$11-'2010'!E21</f>
        <v>8411</v>
      </c>
      <c r="F25" s="10">
        <f>F21+'2010'!$P$11-'2010'!F21</f>
        <v>8821</v>
      </c>
      <c r="G25" s="10">
        <f>G21+'2010'!$P$11-'2010'!G21</f>
        <v>8837</v>
      </c>
      <c r="H25" s="10">
        <f>H21+'2010'!$P$11-'2010'!H21</f>
        <v>8806</v>
      </c>
      <c r="I25" s="10">
        <f>I21+'2010'!$P$11-'2010'!I21</f>
        <v>8737</v>
      </c>
      <c r="J25" s="10">
        <f>J21+'2010'!$P$11-'2010'!J21</f>
        <v>8737</v>
      </c>
      <c r="K25" s="10">
        <f>K21+'2010'!$P$11-'2010'!K21</f>
        <v>8742</v>
      </c>
      <c r="L25" s="10">
        <f>L21+'2010'!$P$11-'2010'!L21</f>
        <v>8681</v>
      </c>
      <c r="M25" s="10">
        <f>M21+'2010'!$P$11-'2010'!M21</f>
        <v>8720</v>
      </c>
      <c r="N25" s="10">
        <f>N21+'2010'!$P$11-'2010'!N21</f>
        <v>8558</v>
      </c>
      <c r="O25" s="10">
        <f>O21+'2010'!$P$11-'2010'!O21</f>
        <v>7992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7">D16/D11</f>
        <v>0.51724137931034486</v>
      </c>
      <c r="E27" s="73">
        <f t="shared" si="17"/>
        <v>0.60193491644678976</v>
      </c>
      <c r="F27" s="73">
        <f t="shared" si="17"/>
        <v>0.59135273972602742</v>
      </c>
      <c r="G27" s="73">
        <f t="shared" si="17"/>
        <v>0.32082758620689655</v>
      </c>
      <c r="H27" s="73">
        <f t="shared" si="17"/>
        <v>0.22072936660268713</v>
      </c>
      <c r="I27" s="73">
        <f t="shared" si="17"/>
        <v>5.6782334384858045E-2</v>
      </c>
      <c r="J27" s="73">
        <f t="shared" si="17"/>
        <v>0</v>
      </c>
      <c r="K27" s="73">
        <f t="shared" si="17"/>
        <v>1.4999999999999999E-2</v>
      </c>
      <c r="L27" s="73">
        <f t="shared" si="17"/>
        <v>0.1608421052631579</v>
      </c>
      <c r="M27" s="73">
        <f t="shared" si="17"/>
        <v>0.3116279069767442</v>
      </c>
      <c r="N27" s="73">
        <f t="shared" si="17"/>
        <v>0.38270348837209306</v>
      </c>
      <c r="O27" s="73">
        <f t="shared" si="17"/>
        <v>0.43537414965986393</v>
      </c>
      <c r="P27" s="73">
        <f t="shared" si="17"/>
        <v>0.39366866866866879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245</v>
      </c>
      <c r="D28" s="4">
        <f t="shared" ref="D28:H28" si="18">D16/D13</f>
        <v>0.7531380753138075</v>
      </c>
      <c r="E28" s="4">
        <f t="shared" si="18"/>
        <v>0.83361753958587081</v>
      </c>
      <c r="F28" s="4">
        <f t="shared" si="18"/>
        <v>1.1706779661016951</v>
      </c>
      <c r="G28" s="4">
        <f t="shared" si="18"/>
        <v>0.72461059190031152</v>
      </c>
      <c r="H28" s="4">
        <f t="shared" si="18"/>
        <v>0.98290598290598286</v>
      </c>
      <c r="I28" s="52"/>
      <c r="J28" s="52"/>
      <c r="K28" s="52"/>
      <c r="L28" s="4">
        <f t="shared" ref="L28:P28" si="19">L16/L13</f>
        <v>1.0465753424657536</v>
      </c>
      <c r="M28" s="4">
        <f t="shared" si="19"/>
        <v>0.63207547169811318</v>
      </c>
      <c r="N28" s="4">
        <f t="shared" si="19"/>
        <v>0.65660847880299256</v>
      </c>
      <c r="O28" s="4">
        <f t="shared" si="19"/>
        <v>0.65173116089613037</v>
      </c>
      <c r="P28" s="4">
        <f t="shared" si="19"/>
        <v>0.81740711873213845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20">D16/D7</f>
        <v>17.419354838709676</v>
      </c>
      <c r="E29" s="4">
        <f t="shared" si="20"/>
        <v>24.442857142857143</v>
      </c>
      <c r="F29" s="4">
        <f t="shared" si="20"/>
        <v>22.280645161290323</v>
      </c>
      <c r="G29" s="4">
        <f t="shared" si="20"/>
        <v>7.753333333333333</v>
      </c>
      <c r="H29" s="4">
        <f t="shared" si="20"/>
        <v>3.7096774193548385</v>
      </c>
      <c r="I29" s="4">
        <f t="shared" si="20"/>
        <v>0.6</v>
      </c>
      <c r="J29" s="4">
        <f t="shared" si="20"/>
        <v>0</v>
      </c>
      <c r="K29" s="4">
        <f t="shared" si="20"/>
        <v>0.15483870967741936</v>
      </c>
      <c r="L29" s="4">
        <f t="shared" si="20"/>
        <v>2.5466666666666669</v>
      </c>
      <c r="M29" s="4">
        <f t="shared" si="20"/>
        <v>6.4838709677419351</v>
      </c>
      <c r="N29" s="4">
        <f t="shared" si="20"/>
        <v>8.7766666666666673</v>
      </c>
      <c r="O29" s="4">
        <f t="shared" si="20"/>
        <v>10.32258064516129</v>
      </c>
      <c r="P29" s="4">
        <f t="shared" si="20"/>
        <v>8.6197260273972631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21">D17/D7</f>
        <v>18.051019030908357</v>
      </c>
      <c r="E30" s="4">
        <f t="shared" si="21"/>
        <v>20.632034104750307</v>
      </c>
      <c r="F30" s="4">
        <f t="shared" si="21"/>
        <v>23.451323127392019</v>
      </c>
      <c r="G30" s="4">
        <f t="shared" si="21"/>
        <v>10.192855659397715</v>
      </c>
      <c r="H30" s="4">
        <f t="shared" si="21"/>
        <v>5.5169561621174523</v>
      </c>
      <c r="I30" s="4">
        <f t="shared" si="21"/>
        <v>0.6</v>
      </c>
      <c r="J30" s="4">
        <f t="shared" si="21"/>
        <v>0</v>
      </c>
      <c r="K30" s="4">
        <f t="shared" si="21"/>
        <v>0.15483870967741936</v>
      </c>
      <c r="L30" s="4">
        <f t="shared" si="21"/>
        <v>7.5702283105022836</v>
      </c>
      <c r="M30" s="4">
        <f t="shared" si="21"/>
        <v>8.1150334753499695</v>
      </c>
      <c r="N30" s="4">
        <f t="shared" si="21"/>
        <v>11.775178719866998</v>
      </c>
      <c r="O30" s="4">
        <f t="shared" si="21"/>
        <v>14.317061953879508</v>
      </c>
      <c r="P30" s="4">
        <f t="shared" si="21"/>
        <v>9.9716110736029737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246</v>
      </c>
      <c r="D31" s="4">
        <f t="shared" ref="D31:P31" si="22">D16/$F$4</f>
        <v>2.2321428571428572</v>
      </c>
      <c r="E31" s="4">
        <f t="shared" si="22"/>
        <v>2.8290343915343912</v>
      </c>
      <c r="F31" s="4">
        <f t="shared" si="22"/>
        <v>2.8550760582010581</v>
      </c>
      <c r="G31" s="4">
        <f t="shared" si="22"/>
        <v>0.96147486772486768</v>
      </c>
      <c r="H31" s="4">
        <f t="shared" si="22"/>
        <v>0.47536375661375657</v>
      </c>
      <c r="I31" s="4">
        <f t="shared" si="22"/>
        <v>7.4404761904761904E-2</v>
      </c>
      <c r="J31" s="4">
        <f t="shared" si="22"/>
        <v>0</v>
      </c>
      <c r="K31" s="4">
        <f t="shared" si="22"/>
        <v>1.984126984126984E-2</v>
      </c>
      <c r="L31" s="4">
        <f t="shared" si="22"/>
        <v>0.31580687830687831</v>
      </c>
      <c r="M31" s="4">
        <f t="shared" si="22"/>
        <v>0.83085317460317454</v>
      </c>
      <c r="N31" s="4">
        <f t="shared" si="22"/>
        <v>1.0883763227513228</v>
      </c>
      <c r="O31" s="4">
        <f t="shared" si="22"/>
        <v>1.3227513227513226</v>
      </c>
      <c r="P31" s="4">
        <f t="shared" si="22"/>
        <v>13.005125661375663</v>
      </c>
      <c r="Q31" s="2"/>
      <c r="R31" s="2"/>
      <c r="S31" s="2"/>
      <c r="T31" s="4">
        <f>T16/$F$4</f>
        <v>16.524470899470902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247</v>
      </c>
      <c r="D32" s="4">
        <f t="shared" ref="D32:P32" si="23">D16/$F$3</f>
        <v>5.625</v>
      </c>
      <c r="E32" s="4">
        <f t="shared" si="23"/>
        <v>7.1291666666666664</v>
      </c>
      <c r="F32" s="4">
        <f t="shared" si="23"/>
        <v>7.1947916666666671</v>
      </c>
      <c r="G32" s="4">
        <f t="shared" si="23"/>
        <v>2.4229166666666666</v>
      </c>
      <c r="H32" s="4">
        <f t="shared" si="23"/>
        <v>1.1979166666666667</v>
      </c>
      <c r="I32" s="4">
        <f t="shared" si="23"/>
        <v>0.1875</v>
      </c>
      <c r="J32" s="4">
        <f t="shared" si="23"/>
        <v>0</v>
      </c>
      <c r="K32" s="4">
        <f t="shared" si="23"/>
        <v>4.9999999999999996E-2</v>
      </c>
      <c r="L32" s="4">
        <f t="shared" si="23"/>
        <v>0.79583333333333339</v>
      </c>
      <c r="M32" s="4">
        <f t="shared" si="23"/>
        <v>2.09375</v>
      </c>
      <c r="N32" s="4">
        <f t="shared" si="23"/>
        <v>2.7427083333333333</v>
      </c>
      <c r="O32" s="4">
        <f t="shared" si="23"/>
        <v>3.3333333333333335</v>
      </c>
      <c r="P32" s="4">
        <f t="shared" si="23"/>
        <v>32.772916666666674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248</v>
      </c>
      <c r="D33" s="4">
        <f t="shared" ref="D33:P33" si="24">D17/$F$4</f>
        <v>2.3130852759513849</v>
      </c>
      <c r="E33" s="4">
        <f t="shared" si="24"/>
        <v>2.3879669102720258</v>
      </c>
      <c r="F33" s="4">
        <f t="shared" si="24"/>
        <v>3.0050885290556901</v>
      </c>
      <c r="G33" s="4">
        <f t="shared" si="24"/>
        <v>1.2639949974451532</v>
      </c>
      <c r="H33" s="4">
        <f t="shared" si="24"/>
        <v>0.7069512277845611</v>
      </c>
      <c r="I33" s="4">
        <f t="shared" si="24"/>
        <v>7.4404761904761904E-2</v>
      </c>
      <c r="J33" s="4">
        <f t="shared" si="24"/>
        <v>0</v>
      </c>
      <c r="K33" s="4">
        <f t="shared" si="24"/>
        <v>1.984126984126984E-2</v>
      </c>
      <c r="L33" s="4">
        <f t="shared" si="24"/>
        <v>0.93876839167935056</v>
      </c>
      <c r="M33" s="4">
        <f t="shared" si="24"/>
        <v>1.0398728411700109</v>
      </c>
      <c r="N33" s="4">
        <f t="shared" si="24"/>
        <v>1.4602156150628718</v>
      </c>
      <c r="O33" s="4">
        <f t="shared" si="24"/>
        <v>1.8346102867487795</v>
      </c>
      <c r="P33" s="4">
        <f t="shared" si="24"/>
        <v>15.044800106915861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249</v>
      </c>
      <c r="D34" s="4">
        <f t="shared" ref="D34:P34" si="25">D17/$F$3</f>
        <v>5.82897489539749</v>
      </c>
      <c r="E34" s="4">
        <f t="shared" si="25"/>
        <v>6.0176766138855058</v>
      </c>
      <c r="F34" s="4">
        <f t="shared" si="25"/>
        <v>7.5728230932203395</v>
      </c>
      <c r="G34" s="4">
        <f t="shared" si="25"/>
        <v>3.1852673935617859</v>
      </c>
      <c r="H34" s="4">
        <f t="shared" si="25"/>
        <v>1.7815170940170939</v>
      </c>
      <c r="I34" s="4">
        <f t="shared" si="25"/>
        <v>0.1875</v>
      </c>
      <c r="J34" s="4">
        <f t="shared" si="25"/>
        <v>0</v>
      </c>
      <c r="K34" s="4">
        <f t="shared" si="25"/>
        <v>4.9999999999999996E-2</v>
      </c>
      <c r="L34" s="4">
        <f t="shared" si="25"/>
        <v>2.3656963470319634</v>
      </c>
      <c r="M34" s="4">
        <f t="shared" si="25"/>
        <v>2.6204795597484276</v>
      </c>
      <c r="N34" s="4">
        <f t="shared" si="25"/>
        <v>3.6797433499584371</v>
      </c>
      <c r="O34" s="4">
        <f t="shared" si="25"/>
        <v>4.6232179226069245</v>
      </c>
      <c r="P34" s="4">
        <f t="shared" si="25"/>
        <v>37.912896269427975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250</v>
      </c>
      <c r="D35" s="4">
        <f t="shared" ref="D35:H35" si="26">1000*D31/D13</f>
        <v>3.1131699541741384</v>
      </c>
      <c r="E35" s="4">
        <f t="shared" si="26"/>
        <v>3.4458396973622301</v>
      </c>
      <c r="F35" s="4">
        <f t="shared" si="26"/>
        <v>4.8391119630526402</v>
      </c>
      <c r="G35" s="4">
        <f t="shared" si="26"/>
        <v>2.9952488091117373</v>
      </c>
      <c r="H35" s="4">
        <f t="shared" si="26"/>
        <v>4.0629380907158676</v>
      </c>
      <c r="I35" s="52"/>
      <c r="J35" s="52"/>
      <c r="K35" s="52"/>
      <c r="L35" s="4">
        <f t="shared" ref="L35:P35" si="27">1000*L31/L13</f>
        <v>4.3261216206421693</v>
      </c>
      <c r="M35" s="4">
        <f t="shared" si="27"/>
        <v>2.6127458320854546</v>
      </c>
      <c r="N35" s="4">
        <f t="shared" si="27"/>
        <v>2.7141554183324756</v>
      </c>
      <c r="O35" s="4">
        <f t="shared" si="27"/>
        <v>2.6939945473550355</v>
      </c>
      <c r="P35" s="4">
        <f t="shared" si="27"/>
        <v>3.3788323360290109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2300</v>
      </c>
      <c r="L40" s="8" t="s">
        <v>30</v>
      </c>
      <c r="M40" s="4"/>
      <c r="N40" s="10">
        <f>SUM(D40:D41,K39)</f>
        <v>11187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4380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0.4107142857142857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8887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0.20559578081701976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3" width="8.44140625" customWidth="1"/>
    <col min="24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251</v>
      </c>
      <c r="H3" s="8" t="s">
        <v>252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SUM(I11:K11)/92</f>
        <v>9.9782608695652169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253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8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2010</v>
      </c>
      <c r="B8" s="25" t="s">
        <v>27</v>
      </c>
      <c r="C8" s="26" t="s">
        <v>254</v>
      </c>
      <c r="D8" s="27">
        <v>-14.1</v>
      </c>
      <c r="E8" s="27">
        <v>-10.3</v>
      </c>
      <c r="F8" s="27">
        <v>-3.5</v>
      </c>
      <c r="G8" s="27">
        <v>3.8</v>
      </c>
      <c r="H8" s="27">
        <v>11</v>
      </c>
      <c r="I8" s="27">
        <v>14.2</v>
      </c>
      <c r="J8" s="27">
        <v>21.7</v>
      </c>
      <c r="K8" s="27">
        <v>16.5</v>
      </c>
      <c r="L8" s="27">
        <v>10.199999999999999</v>
      </c>
      <c r="M8" s="27">
        <v>3.4</v>
      </c>
      <c r="N8" s="27">
        <v>-3.1</v>
      </c>
      <c r="O8" s="28">
        <v>-11.7</v>
      </c>
      <c r="P8" s="27">
        <f>AVERAGE(D8:O8)</f>
        <v>3.1749999999999994</v>
      </c>
      <c r="Q8" s="2"/>
      <c r="R8" s="2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2010</v>
      </c>
      <c r="B9" s="25" t="s">
        <v>29</v>
      </c>
      <c r="C9" s="30" t="s">
        <v>30</v>
      </c>
      <c r="D9" s="31">
        <v>939</v>
      </c>
      <c r="E9" s="31">
        <v>619</v>
      </c>
      <c r="F9" s="31">
        <v>416</v>
      </c>
      <c r="G9" s="31">
        <v>332</v>
      </c>
      <c r="H9" s="31">
        <v>263</v>
      </c>
      <c r="I9" s="31">
        <v>195</v>
      </c>
      <c r="J9" s="31">
        <v>113</v>
      </c>
      <c r="K9" s="31">
        <v>151</v>
      </c>
      <c r="L9" s="31">
        <v>299</v>
      </c>
      <c r="M9" s="31">
        <v>338</v>
      </c>
      <c r="N9" s="31">
        <v>483</v>
      </c>
      <c r="O9" s="42">
        <v>769</v>
      </c>
      <c r="P9" s="31">
        <f t="shared" ref="P9:P17" si="0">SUM(D9:O9)</f>
        <v>4917</v>
      </c>
      <c r="Q9" s="2"/>
      <c r="R9" s="34">
        <f t="shared" ref="R9:R12" si="1">P9/$P$11</f>
        <v>0.55216170690623245</v>
      </c>
      <c r="S9" s="34"/>
      <c r="T9" s="29"/>
      <c r="U9" s="29"/>
      <c r="V9" s="2"/>
      <c r="W9" s="36"/>
      <c r="X9" s="2"/>
      <c r="Y9" s="2"/>
      <c r="Z9" s="2"/>
    </row>
    <row r="10" spans="1:26" ht="12.75" customHeight="1" x14ac:dyDescent="0.25">
      <c r="A10" s="24">
        <v>2010</v>
      </c>
      <c r="B10" s="25" t="s">
        <v>31</v>
      </c>
      <c r="C10" s="30" t="s">
        <v>30</v>
      </c>
      <c r="D10" s="31">
        <v>659</v>
      </c>
      <c r="E10" s="31">
        <v>458</v>
      </c>
      <c r="F10" s="31">
        <v>342</v>
      </c>
      <c r="G10" s="31">
        <v>377</v>
      </c>
      <c r="H10" s="31">
        <v>289</v>
      </c>
      <c r="I10" s="31">
        <v>191</v>
      </c>
      <c r="J10" s="31">
        <v>104</v>
      </c>
      <c r="K10" s="31">
        <v>164</v>
      </c>
      <c r="L10" s="31">
        <v>237</v>
      </c>
      <c r="M10" s="31">
        <v>268</v>
      </c>
      <c r="N10" s="31">
        <v>367</v>
      </c>
      <c r="O10" s="42">
        <v>532</v>
      </c>
      <c r="P10" s="31">
        <f t="shared" si="0"/>
        <v>3988</v>
      </c>
      <c r="Q10" s="39"/>
      <c r="R10" s="34">
        <f t="shared" si="1"/>
        <v>0.44783829309376755</v>
      </c>
      <c r="S10" s="34"/>
      <c r="T10" s="29"/>
      <c r="U10" s="29"/>
      <c r="V10" s="2"/>
      <c r="W10" s="36"/>
      <c r="X10" s="2"/>
      <c r="Y10" s="2"/>
      <c r="Z10" s="2"/>
    </row>
    <row r="11" spans="1:26" ht="12.75" customHeight="1" x14ac:dyDescent="0.25">
      <c r="A11" s="24">
        <v>2010</v>
      </c>
      <c r="B11" s="25" t="s">
        <v>32</v>
      </c>
      <c r="C11" s="30" t="s">
        <v>30</v>
      </c>
      <c r="D11" s="31">
        <f t="shared" ref="D11:O11" si="2">SUM(D9:D10)</f>
        <v>1598</v>
      </c>
      <c r="E11" s="31">
        <f t="shared" si="2"/>
        <v>1077</v>
      </c>
      <c r="F11" s="31">
        <f t="shared" si="2"/>
        <v>758</v>
      </c>
      <c r="G11" s="31">
        <f t="shared" si="2"/>
        <v>709</v>
      </c>
      <c r="H11" s="31">
        <f t="shared" si="2"/>
        <v>552</v>
      </c>
      <c r="I11" s="31">
        <f t="shared" si="2"/>
        <v>386</v>
      </c>
      <c r="J11" s="31">
        <f t="shared" si="2"/>
        <v>217</v>
      </c>
      <c r="K11" s="31">
        <f t="shared" si="2"/>
        <v>315</v>
      </c>
      <c r="L11" s="31">
        <f t="shared" si="2"/>
        <v>536</v>
      </c>
      <c r="M11" s="31">
        <f t="shared" si="2"/>
        <v>606</v>
      </c>
      <c r="N11" s="31">
        <f t="shared" si="2"/>
        <v>850</v>
      </c>
      <c r="O11" s="42">
        <f t="shared" si="2"/>
        <v>1301</v>
      </c>
      <c r="P11" s="40">
        <f t="shared" si="0"/>
        <v>8905</v>
      </c>
      <c r="Q11" s="39"/>
      <c r="R11" s="34">
        <f t="shared" si="1"/>
        <v>1</v>
      </c>
      <c r="S11" s="34"/>
      <c r="T11" s="29"/>
      <c r="U11" s="29"/>
      <c r="V11" s="2"/>
      <c r="W11" s="36"/>
      <c r="X11" s="2"/>
      <c r="Y11" s="2"/>
      <c r="Z11" s="2"/>
    </row>
    <row r="12" spans="1:26" ht="12.75" customHeight="1" x14ac:dyDescent="0.25">
      <c r="A12" s="24">
        <v>2010</v>
      </c>
      <c r="B12" s="25" t="s">
        <v>33</v>
      </c>
      <c r="C12" s="30" t="s">
        <v>30</v>
      </c>
      <c r="D12" s="31">
        <v>366</v>
      </c>
      <c r="E12" s="31">
        <v>431.4</v>
      </c>
      <c r="F12" s="31">
        <v>322</v>
      </c>
      <c r="G12" s="31">
        <v>198</v>
      </c>
      <c r="H12" s="31">
        <v>109</v>
      </c>
      <c r="I12" s="31">
        <v>42.5</v>
      </c>
      <c r="J12" s="80">
        <v>17.5</v>
      </c>
      <c r="K12" s="31">
        <v>39.6</v>
      </c>
      <c r="L12" s="31">
        <v>132</v>
      </c>
      <c r="M12" s="31">
        <v>258</v>
      </c>
      <c r="N12" s="31">
        <v>369</v>
      </c>
      <c r="O12" s="42">
        <v>548</v>
      </c>
      <c r="P12" s="31">
        <f t="shared" si="0"/>
        <v>2833</v>
      </c>
      <c r="Q12" s="39"/>
      <c r="R12" s="34">
        <f t="shared" si="1"/>
        <v>0.31813587871982035</v>
      </c>
      <c r="S12" s="29"/>
      <c r="T12" s="29"/>
      <c r="U12" s="29"/>
      <c r="V12" s="2"/>
      <c r="W12" s="36"/>
      <c r="X12" s="2"/>
      <c r="Y12" s="2"/>
      <c r="Z12" s="2"/>
    </row>
    <row r="13" spans="1:26" ht="12.75" customHeight="1" x14ac:dyDescent="0.25">
      <c r="A13" s="24">
        <v>2010</v>
      </c>
      <c r="B13" s="41" t="s">
        <v>36</v>
      </c>
      <c r="C13" s="26" t="s">
        <v>255</v>
      </c>
      <c r="D13" s="31">
        <v>942</v>
      </c>
      <c r="E13" s="31">
        <v>743</v>
      </c>
      <c r="F13" s="31">
        <v>616</v>
      </c>
      <c r="G13" s="31">
        <v>380</v>
      </c>
      <c r="H13" s="31">
        <v>139</v>
      </c>
      <c r="I13" s="31">
        <v>0</v>
      </c>
      <c r="J13" s="31">
        <v>0</v>
      </c>
      <c r="K13" s="31">
        <v>39</v>
      </c>
      <c r="L13" s="31">
        <v>153</v>
      </c>
      <c r="M13" s="31">
        <v>410</v>
      </c>
      <c r="N13" s="31">
        <v>585</v>
      </c>
      <c r="O13" s="42">
        <v>838</v>
      </c>
      <c r="P13" s="31">
        <f t="shared" si="0"/>
        <v>4845</v>
      </c>
      <c r="Q13" s="36"/>
      <c r="R13" s="34">
        <f>(P13-P14)/$P$14</f>
        <v>6.3666300768386391E-2</v>
      </c>
      <c r="S13" s="34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2010</v>
      </c>
      <c r="B14" s="41" t="s">
        <v>39</v>
      </c>
      <c r="C14" s="26" t="s">
        <v>256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2010</v>
      </c>
      <c r="B15" s="25" t="s">
        <v>41</v>
      </c>
      <c r="C15" s="30" t="s">
        <v>30</v>
      </c>
      <c r="D15" s="31">
        <v>123.16</v>
      </c>
      <c r="E15" s="31">
        <v>106</v>
      </c>
      <c r="F15" s="31">
        <v>89</v>
      </c>
      <c r="G15" s="31">
        <v>142.6</v>
      </c>
      <c r="H15" s="31">
        <v>133.6</v>
      </c>
      <c r="I15" s="31">
        <v>103.7</v>
      </c>
      <c r="J15" s="31">
        <v>66</v>
      </c>
      <c r="K15" s="31">
        <v>87</v>
      </c>
      <c r="L15" s="31">
        <f>94/24*30</f>
        <v>117.5</v>
      </c>
      <c r="M15" s="31">
        <v>107</v>
      </c>
      <c r="N15" s="31">
        <v>133</v>
      </c>
      <c r="O15" s="42">
        <v>139.6</v>
      </c>
      <c r="P15" s="31">
        <f t="shared" si="0"/>
        <v>1348.1599999999999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2010</v>
      </c>
      <c r="B16" s="25" t="s">
        <v>42</v>
      </c>
      <c r="C16" s="30" t="s">
        <v>30</v>
      </c>
      <c r="D16" s="31">
        <f t="shared" ref="D16:H16" si="3">D11-D15-D7*($K$3)</f>
        <v>1164.8399999999999</v>
      </c>
      <c r="E16" s="31">
        <f t="shared" si="3"/>
        <v>691</v>
      </c>
      <c r="F16" s="31">
        <f t="shared" si="3"/>
        <v>359</v>
      </c>
      <c r="G16" s="31">
        <f t="shared" si="3"/>
        <v>266.39999999999998</v>
      </c>
      <c r="H16" s="31">
        <f t="shared" si="3"/>
        <v>108.39999999999998</v>
      </c>
      <c r="I16" s="46">
        <f>I12</f>
        <v>42.5</v>
      </c>
      <c r="J16" s="46">
        <v>0</v>
      </c>
      <c r="K16" s="46">
        <v>38</v>
      </c>
      <c r="L16" s="31">
        <f t="shared" ref="L16:M16" si="4">L12</f>
        <v>132</v>
      </c>
      <c r="M16" s="31">
        <f t="shared" si="4"/>
        <v>258</v>
      </c>
      <c r="N16" s="31">
        <f t="shared" ref="N16:O16" si="5">N11-N15-N7*($K$3)</f>
        <v>417</v>
      </c>
      <c r="O16" s="42">
        <f t="shared" si="5"/>
        <v>851.40000000000009</v>
      </c>
      <c r="P16" s="31">
        <f t="shared" si="0"/>
        <v>4328.5400000000009</v>
      </c>
      <c r="Q16" s="2"/>
      <c r="R16" s="39"/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2010</v>
      </c>
      <c r="B17" s="25" t="s">
        <v>43</v>
      </c>
      <c r="C17" s="30" t="s">
        <v>30</v>
      </c>
      <c r="D17" s="31">
        <f t="shared" ref="D17:H17" si="6">IF(D16&lt;0,0,((D14/D13))*D16)</f>
        <v>918.76445859872615</v>
      </c>
      <c r="E17" s="31">
        <f t="shared" si="6"/>
        <v>644.49932705248989</v>
      </c>
      <c r="F17" s="31">
        <f t="shared" si="6"/>
        <v>361.91396103896108</v>
      </c>
      <c r="G17" s="31">
        <f t="shared" si="6"/>
        <v>295.84421052631575</v>
      </c>
      <c r="H17" s="31">
        <f t="shared" si="6"/>
        <v>135.69496402877695</v>
      </c>
      <c r="I17" s="46">
        <f t="shared" ref="I17:K17" si="7">I16</f>
        <v>42.5</v>
      </c>
      <c r="J17" s="46">
        <f t="shared" si="7"/>
        <v>0</v>
      </c>
      <c r="K17" s="46">
        <f t="shared" si="7"/>
        <v>38</v>
      </c>
      <c r="L17" s="31">
        <f t="shared" ref="L17:O17" si="8">IF(L16&lt;0,0,((L14/L13))*L16)</f>
        <v>187.21568627450981</v>
      </c>
      <c r="M17" s="31">
        <f t="shared" si="8"/>
        <v>250.44878048780487</v>
      </c>
      <c r="N17" s="31">
        <f t="shared" si="8"/>
        <v>383.49743589743588</v>
      </c>
      <c r="O17" s="42">
        <f t="shared" si="8"/>
        <v>691.8894988066827</v>
      </c>
      <c r="P17" s="40">
        <f t="shared" si="0"/>
        <v>3950.2683227117031</v>
      </c>
      <c r="Q17" s="47"/>
      <c r="R17" s="2"/>
      <c r="S17" s="11">
        <f>P11-P15-P16</f>
        <v>3228.2999999999993</v>
      </c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>
        <f>SUM(I15:K15)/92</f>
        <v>2.7902173913043478</v>
      </c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F20" si="9">D11/D7</f>
        <v>51.548387096774192</v>
      </c>
      <c r="E20" s="4">
        <f t="shared" si="9"/>
        <v>38.464285714285715</v>
      </c>
      <c r="F20" s="4">
        <f t="shared" si="9"/>
        <v>24.451612903225808</v>
      </c>
      <c r="G20" s="4">
        <f>G10/G7</f>
        <v>12.566666666666666</v>
      </c>
      <c r="H20" s="4">
        <f t="shared" ref="H20:O20" si="10">H11/H7</f>
        <v>17.806451612903224</v>
      </c>
      <c r="I20" s="4">
        <f t="shared" si="10"/>
        <v>12.866666666666667</v>
      </c>
      <c r="J20" s="4">
        <f t="shared" si="10"/>
        <v>7</v>
      </c>
      <c r="K20" s="4">
        <f t="shared" si="10"/>
        <v>10.161290322580646</v>
      </c>
      <c r="L20" s="4">
        <f t="shared" si="10"/>
        <v>17.866666666666667</v>
      </c>
      <c r="M20" s="4">
        <f t="shared" si="10"/>
        <v>19.548387096774192</v>
      </c>
      <c r="N20" s="4">
        <f t="shared" si="10"/>
        <v>28.333333333333332</v>
      </c>
      <c r="O20" s="4">
        <f t="shared" si="10"/>
        <v>41.967741935483872</v>
      </c>
      <c r="P20" s="4">
        <f>P10/365</f>
        <v>10.926027397260274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1">SUM(D11)</f>
        <v>1598</v>
      </c>
      <c r="E21" s="4">
        <f t="shared" ref="E21:O21" si="12">SUM($D$11:E11)</f>
        <v>2675</v>
      </c>
      <c r="F21" s="4">
        <f t="shared" si="12"/>
        <v>3433</v>
      </c>
      <c r="G21" s="4">
        <f t="shared" si="12"/>
        <v>4142</v>
      </c>
      <c r="H21" s="4">
        <f t="shared" si="12"/>
        <v>4694</v>
      </c>
      <c r="I21" s="4">
        <f t="shared" si="12"/>
        <v>5080</v>
      </c>
      <c r="J21" s="4">
        <f t="shared" si="12"/>
        <v>5297</v>
      </c>
      <c r="K21" s="4">
        <f t="shared" si="12"/>
        <v>5612</v>
      </c>
      <c r="L21" s="4">
        <f t="shared" si="12"/>
        <v>6148</v>
      </c>
      <c r="M21" s="4">
        <f t="shared" si="12"/>
        <v>6754</v>
      </c>
      <c r="N21" s="4">
        <f t="shared" si="12"/>
        <v>7604</v>
      </c>
      <c r="O21" s="4">
        <f t="shared" si="12"/>
        <v>8905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1"/>
        <v>366</v>
      </c>
      <c r="E22" s="4">
        <f t="shared" ref="E22:O22" si="13">SUM($D$12:E12)</f>
        <v>797.4</v>
      </c>
      <c r="F22" s="4">
        <f t="shared" si="13"/>
        <v>1119.4000000000001</v>
      </c>
      <c r="G22" s="4">
        <f t="shared" si="13"/>
        <v>1317.4</v>
      </c>
      <c r="H22" s="4">
        <f t="shared" si="13"/>
        <v>1426.4</v>
      </c>
      <c r="I22" s="4">
        <f t="shared" si="13"/>
        <v>1468.9</v>
      </c>
      <c r="J22" s="4">
        <f t="shared" si="13"/>
        <v>1486.4</v>
      </c>
      <c r="K22" s="4">
        <f t="shared" si="13"/>
        <v>1526</v>
      </c>
      <c r="L22" s="4">
        <f t="shared" si="13"/>
        <v>1658</v>
      </c>
      <c r="M22" s="4">
        <f t="shared" si="13"/>
        <v>1916</v>
      </c>
      <c r="N22" s="4">
        <f t="shared" si="13"/>
        <v>2285</v>
      </c>
      <c r="O22" s="4">
        <f t="shared" si="13"/>
        <v>2833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1164.8399999999999</v>
      </c>
      <c r="E23" s="4">
        <f t="shared" ref="E23:O23" si="14">SUM($D$16:E16)</f>
        <v>1855.84</v>
      </c>
      <c r="F23" s="4">
        <f t="shared" si="14"/>
        <v>2214.84</v>
      </c>
      <c r="G23" s="4">
        <f t="shared" si="14"/>
        <v>2481.2400000000002</v>
      </c>
      <c r="H23" s="4">
        <f t="shared" si="14"/>
        <v>2589.6400000000003</v>
      </c>
      <c r="I23" s="4">
        <f t="shared" si="14"/>
        <v>2632.1400000000003</v>
      </c>
      <c r="J23" s="4">
        <f t="shared" si="14"/>
        <v>2632.1400000000003</v>
      </c>
      <c r="K23" s="4">
        <f t="shared" si="14"/>
        <v>2670.1400000000003</v>
      </c>
      <c r="L23" s="4">
        <f t="shared" si="14"/>
        <v>2802.1400000000003</v>
      </c>
      <c r="M23" s="4">
        <f t="shared" si="14"/>
        <v>3060.1400000000003</v>
      </c>
      <c r="N23" s="4">
        <f t="shared" si="14"/>
        <v>3477.1400000000003</v>
      </c>
      <c r="O23" s="4">
        <f t="shared" si="14"/>
        <v>4328.5400000000009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5">(D11-D12-D15)/D7</f>
        <v>35.769032258064513</v>
      </c>
      <c r="E24" s="4">
        <f t="shared" si="15"/>
        <v>19.271428571428572</v>
      </c>
      <c r="F24" s="4">
        <f t="shared" si="15"/>
        <v>11.193548387096774</v>
      </c>
      <c r="G24" s="4">
        <f t="shared" si="15"/>
        <v>12.28</v>
      </c>
      <c r="H24" s="4">
        <f t="shared" si="15"/>
        <v>9.9806451612903224</v>
      </c>
      <c r="I24" s="4">
        <f t="shared" si="15"/>
        <v>7.9933333333333341</v>
      </c>
      <c r="J24" s="4">
        <f t="shared" si="15"/>
        <v>4.306451612903226</v>
      </c>
      <c r="K24" s="4">
        <f t="shared" si="15"/>
        <v>6.0774193548387085</v>
      </c>
      <c r="L24" s="4">
        <f t="shared" si="15"/>
        <v>9.5500000000000007</v>
      </c>
      <c r="M24" s="4">
        <f t="shared" si="15"/>
        <v>7.774193548387097</v>
      </c>
      <c r="N24" s="4">
        <f t="shared" si="15"/>
        <v>11.6</v>
      </c>
      <c r="O24" s="4">
        <f t="shared" si="15"/>
        <v>19.787096774193547</v>
      </c>
      <c r="P24" s="4">
        <f t="shared" si="15"/>
        <v>12.942027397260274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D21+'2009'!$P$11-'2009'!D21</f>
        <v>8510</v>
      </c>
      <c r="E25" s="10">
        <f>E21+'2009'!$P$11-'2009'!E21</f>
        <v>8711</v>
      </c>
      <c r="F25" s="10">
        <f>F21+'2009'!$P$11-'2009'!F21</f>
        <v>8699</v>
      </c>
      <c r="G25" s="10">
        <f>G21+'2009'!$P$11-'2009'!G21</f>
        <v>8716</v>
      </c>
      <c r="H25" s="10">
        <f>H21+'2009'!$P$11-'2009'!H21</f>
        <v>8741</v>
      </c>
      <c r="I25" s="10">
        <f>I21+'2009'!$P$11-'2009'!I21</f>
        <v>8732</v>
      </c>
      <c r="J25" s="10">
        <f>J21+'2009'!$P$11-'2009'!J21</f>
        <v>8762</v>
      </c>
      <c r="K25" s="10">
        <f>K21+'2009'!$P$11-'2009'!K21</f>
        <v>8721</v>
      </c>
      <c r="L25" s="10">
        <f>L21+'2009'!$P$11-'2009'!L21</f>
        <v>8804</v>
      </c>
      <c r="M25" s="10">
        <f>M21+'2009'!$P$11-'2009'!M21</f>
        <v>8665</v>
      </c>
      <c r="N25" s="10">
        <f>N21+'2009'!$P$11-'2009'!N21</f>
        <v>8696</v>
      </c>
      <c r="O25" s="10">
        <f>O21+'2009'!$P$11-'2009'!O21</f>
        <v>8905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6">D16/D11</f>
        <v>0.72893617021276591</v>
      </c>
      <c r="E27" s="73">
        <f t="shared" si="16"/>
        <v>0.64159702878365832</v>
      </c>
      <c r="F27" s="73">
        <f t="shared" si="16"/>
        <v>0.47361477572559368</v>
      </c>
      <c r="G27" s="73">
        <f t="shared" si="16"/>
        <v>0.37574047954866008</v>
      </c>
      <c r="H27" s="73">
        <f t="shared" si="16"/>
        <v>0.19637681159420287</v>
      </c>
      <c r="I27" s="73">
        <f t="shared" si="16"/>
        <v>0.11010362694300518</v>
      </c>
      <c r="J27" s="73">
        <f t="shared" si="16"/>
        <v>0</v>
      </c>
      <c r="K27" s="73">
        <f t="shared" si="16"/>
        <v>0.12063492063492064</v>
      </c>
      <c r="L27" s="73">
        <f t="shared" si="16"/>
        <v>0.2462686567164179</v>
      </c>
      <c r="M27" s="73">
        <f t="shared" si="16"/>
        <v>0.42574257425742573</v>
      </c>
      <c r="N27" s="73">
        <f t="shared" si="16"/>
        <v>0.49058823529411766</v>
      </c>
      <c r="O27" s="73">
        <f t="shared" si="16"/>
        <v>0.6544196771714067</v>
      </c>
      <c r="P27" s="73">
        <f t="shared" si="16"/>
        <v>0.48607973048848974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257</v>
      </c>
      <c r="D28" s="4">
        <f t="shared" ref="D28:H28" si="17">D16/D13</f>
        <v>1.2365605095541401</v>
      </c>
      <c r="E28" s="4">
        <f t="shared" si="17"/>
        <v>0.93001345895020193</v>
      </c>
      <c r="F28" s="4">
        <f t="shared" si="17"/>
        <v>0.58279220779220775</v>
      </c>
      <c r="G28" s="4">
        <f t="shared" si="17"/>
        <v>0.70105263157894726</v>
      </c>
      <c r="H28" s="4">
        <f t="shared" si="17"/>
        <v>0.77985611510791353</v>
      </c>
      <c r="I28" s="4"/>
      <c r="J28" s="4"/>
      <c r="K28" s="4">
        <f t="shared" ref="K28:P28" si="18">K16/K13</f>
        <v>0.97435897435897434</v>
      </c>
      <c r="L28" s="4">
        <f t="shared" si="18"/>
        <v>0.86274509803921573</v>
      </c>
      <c r="M28" s="4">
        <f t="shared" si="18"/>
        <v>0.62926829268292683</v>
      </c>
      <c r="N28" s="4">
        <f t="shared" si="18"/>
        <v>0.71282051282051284</v>
      </c>
      <c r="O28" s="4">
        <f t="shared" si="18"/>
        <v>1.0159904534606206</v>
      </c>
      <c r="P28" s="4">
        <f t="shared" si="18"/>
        <v>0.89340350877192998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9">D16/D7</f>
        <v>37.575483870967737</v>
      </c>
      <c r="E29" s="4">
        <f t="shared" si="19"/>
        <v>24.678571428571427</v>
      </c>
      <c r="F29" s="4">
        <f t="shared" si="19"/>
        <v>11.580645161290322</v>
      </c>
      <c r="G29" s="4">
        <f t="shared" si="19"/>
        <v>8.879999999999999</v>
      </c>
      <c r="H29" s="4">
        <f t="shared" si="19"/>
        <v>3.4967741935483865</v>
      </c>
      <c r="I29" s="4">
        <f t="shared" si="19"/>
        <v>1.4166666666666667</v>
      </c>
      <c r="J29" s="4">
        <f t="shared" si="19"/>
        <v>0</v>
      </c>
      <c r="K29" s="4">
        <f t="shared" si="19"/>
        <v>1.2258064516129032</v>
      </c>
      <c r="L29" s="4">
        <f t="shared" si="19"/>
        <v>4.4000000000000004</v>
      </c>
      <c r="M29" s="4">
        <f t="shared" si="19"/>
        <v>8.32258064516129</v>
      </c>
      <c r="N29" s="4">
        <f t="shared" si="19"/>
        <v>13.9</v>
      </c>
      <c r="O29" s="4">
        <f t="shared" si="19"/>
        <v>27.464516129032262</v>
      </c>
      <c r="P29" s="4">
        <f t="shared" si="19"/>
        <v>11.85901369863014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20">D17/D7</f>
        <v>29.637563180604069</v>
      </c>
      <c r="E30" s="4">
        <f t="shared" si="20"/>
        <v>23.017833109017495</v>
      </c>
      <c r="F30" s="4">
        <f t="shared" si="20"/>
        <v>11.674643904482615</v>
      </c>
      <c r="G30" s="4">
        <f t="shared" si="20"/>
        <v>9.8614736842105248</v>
      </c>
      <c r="H30" s="4">
        <f t="shared" si="20"/>
        <v>4.3772569041540956</v>
      </c>
      <c r="I30" s="4">
        <f t="shared" si="20"/>
        <v>1.4166666666666667</v>
      </c>
      <c r="J30" s="4">
        <f t="shared" si="20"/>
        <v>0</v>
      </c>
      <c r="K30" s="4">
        <f t="shared" si="20"/>
        <v>1.2258064516129032</v>
      </c>
      <c r="L30" s="4">
        <f t="shared" si="20"/>
        <v>6.2405228758169935</v>
      </c>
      <c r="M30" s="4">
        <f t="shared" si="20"/>
        <v>8.0789929189614469</v>
      </c>
      <c r="N30" s="4">
        <f t="shared" si="20"/>
        <v>12.783247863247862</v>
      </c>
      <c r="O30" s="4">
        <f t="shared" si="20"/>
        <v>22.319016090538152</v>
      </c>
      <c r="P30" s="4">
        <f t="shared" si="20"/>
        <v>10.822652938936173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258</v>
      </c>
      <c r="D31" s="4">
        <f t="shared" ref="D31:P31" si="21">D16/$F$4</f>
        <v>4.8149801587301582</v>
      </c>
      <c r="E31" s="4">
        <f t="shared" si="21"/>
        <v>2.8563161375661372</v>
      </c>
      <c r="F31" s="4">
        <f t="shared" si="21"/>
        <v>1.48396164021164</v>
      </c>
      <c r="G31" s="4">
        <f t="shared" si="21"/>
        <v>1.1011904761904761</v>
      </c>
      <c r="H31" s="4">
        <f t="shared" si="21"/>
        <v>0.44808201058201047</v>
      </c>
      <c r="I31" s="4">
        <f t="shared" si="21"/>
        <v>0.17567791005291003</v>
      </c>
      <c r="J31" s="4">
        <f t="shared" si="21"/>
        <v>0</v>
      </c>
      <c r="K31" s="4">
        <f t="shared" si="21"/>
        <v>0.15707671957671956</v>
      </c>
      <c r="L31" s="4">
        <f t="shared" si="21"/>
        <v>0.54563492063492058</v>
      </c>
      <c r="M31" s="4">
        <f t="shared" si="21"/>
        <v>1.066468253968254</v>
      </c>
      <c r="N31" s="4">
        <f t="shared" si="21"/>
        <v>1.7237103174603174</v>
      </c>
      <c r="O31" s="4">
        <f t="shared" si="21"/>
        <v>3.5193452380952381</v>
      </c>
      <c r="P31" s="4">
        <f t="shared" si="21"/>
        <v>17.892443783068785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259</v>
      </c>
      <c r="D32" s="4">
        <f t="shared" ref="D32:P32" si="22">D16/$F$3</f>
        <v>12.133749999999999</v>
      </c>
      <c r="E32" s="4">
        <f t="shared" si="22"/>
        <v>7.197916666666667</v>
      </c>
      <c r="F32" s="4">
        <f t="shared" si="22"/>
        <v>3.7395833333333335</v>
      </c>
      <c r="G32" s="4">
        <f t="shared" si="22"/>
        <v>2.7749999999999999</v>
      </c>
      <c r="H32" s="4">
        <f t="shared" si="22"/>
        <v>1.1291666666666664</v>
      </c>
      <c r="I32" s="4">
        <f t="shared" si="22"/>
        <v>0.44270833333333331</v>
      </c>
      <c r="J32" s="4">
        <f t="shared" si="22"/>
        <v>0</v>
      </c>
      <c r="K32" s="4">
        <f t="shared" si="22"/>
        <v>0.39583333333333331</v>
      </c>
      <c r="L32" s="4">
        <f t="shared" si="22"/>
        <v>1.375</v>
      </c>
      <c r="M32" s="4">
        <f t="shared" si="22"/>
        <v>2.6875</v>
      </c>
      <c r="N32" s="4">
        <f t="shared" si="22"/>
        <v>4.34375</v>
      </c>
      <c r="O32" s="4">
        <f t="shared" si="22"/>
        <v>8.8687500000000004</v>
      </c>
      <c r="P32" s="4">
        <f t="shared" si="22"/>
        <v>45.088958333333345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260</v>
      </c>
      <c r="D33" s="4">
        <f t="shared" ref="D33:P33" si="23">D17/$F$4</f>
        <v>3.7978028215886495</v>
      </c>
      <c r="E33" s="4">
        <f t="shared" si="23"/>
        <v>2.6641010542844321</v>
      </c>
      <c r="F33" s="4">
        <f t="shared" si="23"/>
        <v>1.4960067833951762</v>
      </c>
      <c r="G33" s="4">
        <f t="shared" si="23"/>
        <v>1.2229010025062654</v>
      </c>
      <c r="H33" s="4">
        <f t="shared" si="23"/>
        <v>0.56090841612424336</v>
      </c>
      <c r="I33" s="4">
        <f t="shared" si="23"/>
        <v>0.17567791005291003</v>
      </c>
      <c r="J33" s="4">
        <f t="shared" si="23"/>
        <v>0</v>
      </c>
      <c r="K33" s="4">
        <f t="shared" si="23"/>
        <v>0.15707671957671956</v>
      </c>
      <c r="L33" s="4">
        <f t="shared" si="23"/>
        <v>0.77387436456063907</v>
      </c>
      <c r="M33" s="4">
        <f t="shared" si="23"/>
        <v>1.035254548974061</v>
      </c>
      <c r="N33" s="4">
        <f t="shared" si="23"/>
        <v>1.5852241893908559</v>
      </c>
      <c r="O33" s="4">
        <f t="shared" si="23"/>
        <v>2.859992967950904</v>
      </c>
      <c r="P33" s="4">
        <f t="shared" si="23"/>
        <v>16.328820778404857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261</v>
      </c>
      <c r="D34" s="4">
        <f t="shared" ref="D34:P34" si="24">D17/$F$3</f>
        <v>9.5704631104033968</v>
      </c>
      <c r="E34" s="4">
        <f t="shared" si="24"/>
        <v>6.71353465679677</v>
      </c>
      <c r="F34" s="4">
        <f t="shared" si="24"/>
        <v>3.7699370941558445</v>
      </c>
      <c r="G34" s="4">
        <f t="shared" si="24"/>
        <v>3.0817105263157889</v>
      </c>
      <c r="H34" s="4">
        <f t="shared" si="24"/>
        <v>1.4134892086330932</v>
      </c>
      <c r="I34" s="4">
        <f t="shared" si="24"/>
        <v>0.44270833333333331</v>
      </c>
      <c r="J34" s="4">
        <f t="shared" si="24"/>
        <v>0</v>
      </c>
      <c r="K34" s="4">
        <f t="shared" si="24"/>
        <v>0.39583333333333331</v>
      </c>
      <c r="L34" s="4">
        <f t="shared" si="24"/>
        <v>1.9501633986928104</v>
      </c>
      <c r="M34" s="4">
        <f t="shared" si="24"/>
        <v>2.6088414634146342</v>
      </c>
      <c r="N34" s="4">
        <f t="shared" si="24"/>
        <v>3.9947649572649571</v>
      </c>
      <c r="O34" s="4">
        <f t="shared" si="24"/>
        <v>7.2071822792362781</v>
      </c>
      <c r="P34" s="4">
        <f t="shared" si="24"/>
        <v>41.148628361580244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262</v>
      </c>
      <c r="D35" s="4">
        <f t="shared" ref="D35:P35" si="25">1000*D31/D13</f>
        <v>5.1114439052337133</v>
      </c>
      <c r="E35" s="4">
        <f t="shared" si="25"/>
        <v>3.8443016656341009</v>
      </c>
      <c r="F35" s="4">
        <f t="shared" si="25"/>
        <v>2.409028636707208</v>
      </c>
      <c r="G35" s="4">
        <f t="shared" si="25"/>
        <v>2.8978696741854635</v>
      </c>
      <c r="H35" s="4">
        <f t="shared" si="25"/>
        <v>3.2236115869209385</v>
      </c>
      <c r="I35" s="4" t="e">
        <f t="shared" si="25"/>
        <v>#DIV/0!</v>
      </c>
      <c r="J35" s="4" t="e">
        <f t="shared" si="25"/>
        <v>#DIV/0!</v>
      </c>
      <c r="K35" s="4">
        <f t="shared" si="25"/>
        <v>4.0276081942748609</v>
      </c>
      <c r="L35" s="4">
        <f t="shared" si="25"/>
        <v>3.5662413113393505</v>
      </c>
      <c r="M35" s="4">
        <f t="shared" si="25"/>
        <v>2.6011420828494001</v>
      </c>
      <c r="N35" s="4">
        <f t="shared" si="25"/>
        <v>2.9465133631800295</v>
      </c>
      <c r="O35" s="4">
        <f t="shared" si="25"/>
        <v>4.1996959881804754</v>
      </c>
      <c r="P35" s="4">
        <f t="shared" si="25"/>
        <v>3.692970853058573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2300</v>
      </c>
      <c r="L40" s="8" t="s">
        <v>30</v>
      </c>
      <c r="M40" s="4"/>
      <c r="N40" s="10">
        <f>SUM(D40:D41,K39)</f>
        <v>10457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0.4107142857142857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8157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0.21994835995027254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E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31" width="8.44140625" customWidth="1"/>
  </cols>
  <sheetData>
    <row r="1" spans="1:31" ht="12.75" customHeight="1" x14ac:dyDescent="0.3">
      <c r="A1" s="1" t="s">
        <v>0</v>
      </c>
      <c r="B1" s="2"/>
      <c r="C1" s="2"/>
      <c r="D1" s="3">
        <v>2009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263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9.1195652173913047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265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43"/>
    </row>
    <row r="6" spans="1:31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1"/>
    </row>
    <row r="7" spans="1:31" ht="18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81"/>
    </row>
    <row r="8" spans="1:31" ht="12.75" customHeight="1" x14ac:dyDescent="0.25">
      <c r="A8" s="24">
        <v>2009</v>
      </c>
      <c r="B8" s="25" t="s">
        <v>27</v>
      </c>
      <c r="C8" s="26" t="s">
        <v>266</v>
      </c>
      <c r="D8" s="27">
        <v>-4.3</v>
      </c>
      <c r="E8" s="27">
        <v>-4.0999999999999996</v>
      </c>
      <c r="F8" s="27">
        <v>-2.8</v>
      </c>
      <c r="G8" s="27">
        <v>3.9</v>
      </c>
      <c r="H8" s="27">
        <v>10.4</v>
      </c>
      <c r="I8" s="27">
        <v>13.3</v>
      </c>
      <c r="J8" s="27">
        <v>16.100000000000001</v>
      </c>
      <c r="K8" s="27">
        <v>14.8</v>
      </c>
      <c r="L8" s="27">
        <v>11.3</v>
      </c>
      <c r="M8" s="27">
        <v>1.7</v>
      </c>
      <c r="N8" s="27">
        <v>0.9</v>
      </c>
      <c r="O8" s="27">
        <v>-7.5</v>
      </c>
      <c r="P8" s="27">
        <f>AVERAGE(D8:O8)</f>
        <v>4.4749999999999996</v>
      </c>
      <c r="Q8" s="2"/>
      <c r="R8" s="29"/>
      <c r="S8" s="2"/>
      <c r="T8" s="29"/>
      <c r="U8" s="2"/>
      <c r="V8" s="2"/>
      <c r="W8" s="2"/>
      <c r="X8" s="2"/>
      <c r="Y8" s="2"/>
      <c r="Z8" s="2"/>
      <c r="AA8" s="2"/>
      <c r="AB8" s="2"/>
      <c r="AC8" s="2"/>
      <c r="AD8" s="2"/>
      <c r="AE8" s="43"/>
    </row>
    <row r="9" spans="1:31" ht="12.75" customHeight="1" x14ac:dyDescent="0.25">
      <c r="A9" s="24">
        <v>2009</v>
      </c>
      <c r="B9" s="25" t="s">
        <v>29</v>
      </c>
      <c r="C9" s="30" t="s">
        <v>30</v>
      </c>
      <c r="D9" s="31">
        <v>532</v>
      </c>
      <c r="E9" s="31">
        <v>498</v>
      </c>
      <c r="F9" s="31">
        <f>429</f>
        <v>429</v>
      </c>
      <c r="G9" s="31">
        <v>356</v>
      </c>
      <c r="H9" s="31">
        <v>256</v>
      </c>
      <c r="I9" s="31">
        <v>175</v>
      </c>
      <c r="J9" s="31">
        <v>94</v>
      </c>
      <c r="K9" s="31">
        <v>175</v>
      </c>
      <c r="L9" s="31">
        <v>226</v>
      </c>
      <c r="M9" s="31">
        <v>415</v>
      </c>
      <c r="N9" s="31">
        <v>479</v>
      </c>
      <c r="O9" s="31">
        <v>647</v>
      </c>
      <c r="P9" s="31">
        <f t="shared" ref="P9:P17" si="0">SUM(D9:O9)</f>
        <v>4282</v>
      </c>
      <c r="Q9" s="2"/>
      <c r="R9" s="34"/>
      <c r="S9" s="34"/>
      <c r="T9" s="29">
        <f>SUM(D9:N9)+(SUM('2008'!O9))</f>
        <v>4141</v>
      </c>
      <c r="U9" s="29">
        <f>T9-'2008'!T9</f>
        <v>-73</v>
      </c>
      <c r="V9" s="2"/>
      <c r="W9" s="36">
        <f>U9/'2009'!T9</f>
        <v>-1.7628592127505432E-2</v>
      </c>
      <c r="X9" s="2"/>
      <c r="Y9" s="2"/>
      <c r="Z9" s="2"/>
      <c r="AA9" s="2"/>
      <c r="AB9" s="2"/>
      <c r="AC9" s="2"/>
      <c r="AD9" s="2"/>
      <c r="AE9" s="43"/>
    </row>
    <row r="10" spans="1:31" ht="12.75" customHeight="1" x14ac:dyDescent="0.25">
      <c r="A10" s="24">
        <v>2009</v>
      </c>
      <c r="B10" s="25" t="s">
        <v>31</v>
      </c>
      <c r="C10" s="30" t="s">
        <v>30</v>
      </c>
      <c r="D10" s="31">
        <v>410</v>
      </c>
      <c r="E10" s="31">
        <v>378</v>
      </c>
      <c r="F10" s="31">
        <f>341</f>
        <v>341</v>
      </c>
      <c r="G10" s="31">
        <v>336</v>
      </c>
      <c r="H10" s="31">
        <v>271</v>
      </c>
      <c r="I10" s="31">
        <v>220</v>
      </c>
      <c r="J10" s="31">
        <v>93</v>
      </c>
      <c r="K10" s="31">
        <v>181</v>
      </c>
      <c r="L10" s="31">
        <v>227</v>
      </c>
      <c r="M10" s="31">
        <v>330</v>
      </c>
      <c r="N10" s="31">
        <v>340</v>
      </c>
      <c r="O10" s="31">
        <v>445</v>
      </c>
      <c r="P10" s="31">
        <f t="shared" si="0"/>
        <v>3572</v>
      </c>
      <c r="Q10" s="39"/>
      <c r="R10" s="2">
        <f>P11/2</f>
        <v>3927</v>
      </c>
      <c r="S10" s="34"/>
      <c r="T10" s="29">
        <f>SUM(D10:N10)+(SUM('2008'!O10))</f>
        <v>3488</v>
      </c>
      <c r="U10" s="29">
        <f>T10-'2008'!T10</f>
        <v>48</v>
      </c>
      <c r="V10" s="2"/>
      <c r="W10" s="36">
        <f>U10/'2009'!T10</f>
        <v>1.3761467889908258E-2</v>
      </c>
      <c r="X10" s="2"/>
      <c r="Y10" s="2"/>
      <c r="Z10" s="2"/>
      <c r="AA10" s="2"/>
      <c r="AB10" s="2"/>
      <c r="AC10" s="2"/>
      <c r="AD10" s="2"/>
      <c r="AE10" s="43"/>
    </row>
    <row r="11" spans="1:31" ht="12.75" customHeight="1" x14ac:dyDescent="0.25">
      <c r="A11" s="24">
        <v>2009</v>
      </c>
      <c r="B11" s="25" t="s">
        <v>32</v>
      </c>
      <c r="C11" s="30" t="s">
        <v>30</v>
      </c>
      <c r="D11" s="31">
        <f t="shared" ref="D11:O11" si="1">SUM(D9:D10)</f>
        <v>942</v>
      </c>
      <c r="E11" s="31">
        <f t="shared" si="1"/>
        <v>876</v>
      </c>
      <c r="F11" s="31">
        <f t="shared" si="1"/>
        <v>770</v>
      </c>
      <c r="G11" s="31">
        <f t="shared" si="1"/>
        <v>692</v>
      </c>
      <c r="H11" s="31">
        <f t="shared" si="1"/>
        <v>527</v>
      </c>
      <c r="I11" s="31">
        <f t="shared" si="1"/>
        <v>395</v>
      </c>
      <c r="J11" s="31">
        <f t="shared" si="1"/>
        <v>187</v>
      </c>
      <c r="K11" s="31">
        <f t="shared" si="1"/>
        <v>356</v>
      </c>
      <c r="L11" s="31">
        <f t="shared" si="1"/>
        <v>453</v>
      </c>
      <c r="M11" s="31">
        <f t="shared" si="1"/>
        <v>745</v>
      </c>
      <c r="N11" s="31">
        <f t="shared" si="1"/>
        <v>819</v>
      </c>
      <c r="O11" s="31">
        <f t="shared" si="1"/>
        <v>1092</v>
      </c>
      <c r="P11" s="40">
        <f t="shared" si="0"/>
        <v>7854</v>
      </c>
      <c r="Q11" s="39"/>
      <c r="R11" s="29">
        <f>P11/365</f>
        <v>21.517808219178082</v>
      </c>
      <c r="S11" s="34"/>
      <c r="T11" s="29">
        <f>SUM(D11:N11)+(SUM('2008'!O11))</f>
        <v>7629</v>
      </c>
      <c r="U11" s="29">
        <f>T11-'2008'!T11</f>
        <v>-25</v>
      </c>
      <c r="V11" s="2"/>
      <c r="W11" s="36">
        <f>U11/'2009'!T11</f>
        <v>-3.2769694586446455E-3</v>
      </c>
      <c r="X11" s="2"/>
      <c r="Y11" s="2"/>
      <c r="Z11" s="2"/>
      <c r="AA11" s="2"/>
      <c r="AB11" s="2"/>
      <c r="AC11" s="2"/>
      <c r="AD11" s="2"/>
      <c r="AE11" s="43"/>
    </row>
    <row r="12" spans="1:31" ht="12.75" customHeight="1" x14ac:dyDescent="0.25">
      <c r="A12" s="24">
        <v>2009</v>
      </c>
      <c r="B12" s="25" t="s">
        <v>33</v>
      </c>
      <c r="C12" s="30" t="s">
        <v>30</v>
      </c>
      <c r="D12" s="31">
        <v>398</v>
      </c>
      <c r="E12" s="31">
        <v>383</v>
      </c>
      <c r="F12" s="31">
        <f>317.4</f>
        <v>317.39999999999998</v>
      </c>
      <c r="G12" s="31">
        <v>212</v>
      </c>
      <c r="H12" s="31">
        <v>87</v>
      </c>
      <c r="I12" s="31">
        <v>61</v>
      </c>
      <c r="J12" s="31">
        <v>7</v>
      </c>
      <c r="K12" s="31">
        <v>31</v>
      </c>
      <c r="L12" s="31">
        <v>95</v>
      </c>
      <c r="M12" s="31">
        <v>265.3</v>
      </c>
      <c r="N12" s="31">
        <v>267.2</v>
      </c>
      <c r="O12" s="31">
        <v>425</v>
      </c>
      <c r="P12" s="31">
        <f t="shared" si="0"/>
        <v>2548.9</v>
      </c>
      <c r="Q12" s="39"/>
      <c r="R12" s="39">
        <f>AVERAGE('2007'!P12,'2009'!P12,'2008'!P12)</f>
        <v>2280.1666666666665</v>
      </c>
      <c r="S12" s="34"/>
      <c r="T12" s="29">
        <f>SUM(D12:N12)+(SUM('2008'!O12))</f>
        <v>2449.9</v>
      </c>
      <c r="U12" s="29">
        <f>T12-'2008'!T12</f>
        <v>118.90000000000009</v>
      </c>
      <c r="V12" s="2"/>
      <c r="W12" s="36">
        <f>U12/'2009'!T12</f>
        <v>4.853259316706808E-2</v>
      </c>
      <c r="X12" s="2"/>
      <c r="Y12" s="2"/>
      <c r="Z12" s="2"/>
      <c r="AA12" s="2"/>
      <c r="AB12" s="2"/>
      <c r="AC12" s="2"/>
      <c r="AD12" s="2"/>
      <c r="AE12" s="43"/>
    </row>
    <row r="13" spans="1:31" ht="12.75" customHeight="1" x14ac:dyDescent="0.25">
      <c r="A13" s="24">
        <v>2009</v>
      </c>
      <c r="B13" s="41" t="s">
        <v>36</v>
      </c>
      <c r="C13" s="26" t="s">
        <v>267</v>
      </c>
      <c r="D13" s="31">
        <v>681</v>
      </c>
      <c r="E13" s="31">
        <v>636</v>
      </c>
      <c r="F13" s="31">
        <v>602</v>
      </c>
      <c r="G13" s="31">
        <v>370</v>
      </c>
      <c r="H13" s="31">
        <v>108</v>
      </c>
      <c r="I13" s="31">
        <v>56</v>
      </c>
      <c r="J13" s="31">
        <v>6</v>
      </c>
      <c r="K13" s="31">
        <v>11</v>
      </c>
      <c r="L13" s="31">
        <v>106</v>
      </c>
      <c r="M13" s="31">
        <v>452</v>
      </c>
      <c r="N13" s="31">
        <v>461</v>
      </c>
      <c r="O13" s="31">
        <v>734</v>
      </c>
      <c r="P13" s="31">
        <f t="shared" si="0"/>
        <v>4223</v>
      </c>
      <c r="Q13" s="36"/>
      <c r="R13" s="39"/>
      <c r="S13" s="34"/>
      <c r="T13" s="29">
        <f>SUM(D13:N13)+(SUM('2008'!O13))</f>
        <v>4026</v>
      </c>
      <c r="U13" s="29">
        <f>T13-'2008'!T13</f>
        <v>322</v>
      </c>
      <c r="V13" s="34"/>
      <c r="W13" s="36">
        <f>U13/'2009'!T13</f>
        <v>7.9980129160457034E-2</v>
      </c>
      <c r="X13" s="2"/>
      <c r="Y13" s="2"/>
      <c r="Z13" s="2"/>
      <c r="AA13" s="2"/>
      <c r="AB13" s="2"/>
      <c r="AC13" s="2"/>
      <c r="AD13" s="2"/>
      <c r="AE13" s="43"/>
    </row>
    <row r="14" spans="1:31" ht="12.75" customHeight="1" x14ac:dyDescent="0.25">
      <c r="A14" s="24">
        <v>2009</v>
      </c>
      <c r="B14" s="41" t="s">
        <v>39</v>
      </c>
      <c r="C14" s="26" t="s">
        <v>268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4"/>
      <c r="S14" s="2"/>
      <c r="T14" s="29"/>
      <c r="U14" s="43"/>
      <c r="V14" s="43"/>
      <c r="W14" s="2"/>
      <c r="X14" s="2"/>
      <c r="Y14" s="2"/>
      <c r="Z14" s="2"/>
      <c r="AA14" s="2"/>
      <c r="AB14" s="2"/>
      <c r="AC14" s="2"/>
      <c r="AD14" s="2"/>
      <c r="AE14" s="43"/>
    </row>
    <row r="15" spans="1:31" ht="12.75" customHeight="1" x14ac:dyDescent="0.25">
      <c r="A15" s="24">
        <v>2009</v>
      </c>
      <c r="B15" s="25" t="s">
        <v>41</v>
      </c>
      <c r="C15" s="30" t="s">
        <v>30</v>
      </c>
      <c r="D15" s="31">
        <v>115</v>
      </c>
      <c r="E15" s="31">
        <v>101</v>
      </c>
      <c r="F15" s="31">
        <v>77.5</v>
      </c>
      <c r="G15" s="31">
        <v>125</v>
      </c>
      <c r="H15" s="31">
        <v>135</v>
      </c>
      <c r="I15" s="31">
        <v>99.5</v>
      </c>
      <c r="J15" s="31">
        <v>49</v>
      </c>
      <c r="K15" s="31">
        <v>94</v>
      </c>
      <c r="L15" s="31">
        <v>92</v>
      </c>
      <c r="M15" s="31">
        <v>124.63</v>
      </c>
      <c r="N15" s="31">
        <v>123.81</v>
      </c>
      <c r="O15" s="31">
        <v>117.6</v>
      </c>
      <c r="P15" s="31">
        <f t="shared" si="0"/>
        <v>1254.04</v>
      </c>
      <c r="Q15" s="2"/>
      <c r="R15" s="2"/>
      <c r="S15" s="2"/>
      <c r="T15" s="29"/>
      <c r="U15" s="2"/>
      <c r="V15" s="2"/>
      <c r="W15" s="2"/>
      <c r="X15" s="2"/>
      <c r="Y15" s="2"/>
      <c r="Z15" s="2"/>
      <c r="AA15" s="2"/>
      <c r="AB15" s="2"/>
      <c r="AC15" s="2"/>
      <c r="AD15" s="2"/>
      <c r="AE15" s="43"/>
    </row>
    <row r="16" spans="1:31" ht="12.75" customHeight="1" x14ac:dyDescent="0.25">
      <c r="A16" s="24">
        <v>2009</v>
      </c>
      <c r="B16" s="25" t="s">
        <v>42</v>
      </c>
      <c r="C16" s="30" t="s">
        <v>30</v>
      </c>
      <c r="D16" s="31">
        <f t="shared" ref="D16:G16" si="2">D11-D15-D7*($K$3)</f>
        <v>517</v>
      </c>
      <c r="E16" s="31">
        <f t="shared" si="2"/>
        <v>495</v>
      </c>
      <c r="F16" s="31">
        <f t="shared" si="2"/>
        <v>382.5</v>
      </c>
      <c r="G16" s="31">
        <f t="shared" si="2"/>
        <v>267</v>
      </c>
      <c r="H16" s="46">
        <v>87</v>
      </c>
      <c r="I16" s="46">
        <f t="shared" ref="I16:L16" si="3">I12</f>
        <v>61</v>
      </c>
      <c r="J16" s="46">
        <f t="shared" si="3"/>
        <v>7</v>
      </c>
      <c r="K16" s="46">
        <f t="shared" si="3"/>
        <v>31</v>
      </c>
      <c r="L16" s="46">
        <f t="shared" si="3"/>
        <v>95</v>
      </c>
      <c r="M16" s="31">
        <f t="shared" ref="M16:O16" si="4">M11-M15-M7*($K$3)</f>
        <v>310.37</v>
      </c>
      <c r="N16" s="31">
        <f t="shared" si="4"/>
        <v>395.19000000000005</v>
      </c>
      <c r="O16" s="31">
        <f t="shared" si="4"/>
        <v>664.4</v>
      </c>
      <c r="P16" s="31">
        <f t="shared" si="0"/>
        <v>3312.46</v>
      </c>
      <c r="Q16" s="2"/>
      <c r="R16" s="39">
        <f>AVERAGE('2007'!P16,'2009'!P16,'2008'!P16)</f>
        <v>3385.0866666666666</v>
      </c>
      <c r="S16" s="2"/>
      <c r="T16" s="2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43"/>
    </row>
    <row r="17" spans="1:31" ht="12.75" customHeight="1" x14ac:dyDescent="0.25">
      <c r="A17" s="24">
        <v>2009</v>
      </c>
      <c r="B17" s="25" t="s">
        <v>43</v>
      </c>
      <c r="C17" s="30" t="s">
        <v>30</v>
      </c>
      <c r="D17" s="31">
        <f t="shared" ref="D17:H17" si="5">IF(D16&lt;0,0,((D14/D13))*D16)</f>
        <v>564.06901615271659</v>
      </c>
      <c r="E17" s="31">
        <f t="shared" si="5"/>
        <v>539.36320754716974</v>
      </c>
      <c r="F17" s="31">
        <f t="shared" si="5"/>
        <v>394.57225913621261</v>
      </c>
      <c r="G17" s="31">
        <f t="shared" si="5"/>
        <v>304.52432432432431</v>
      </c>
      <c r="H17" s="31">
        <f t="shared" si="5"/>
        <v>140.16666666666666</v>
      </c>
      <c r="I17" s="46">
        <f t="shared" ref="I17:K17" si="6">I16</f>
        <v>61</v>
      </c>
      <c r="J17" s="46">
        <f t="shared" si="6"/>
        <v>7</v>
      </c>
      <c r="K17" s="46">
        <f t="shared" si="6"/>
        <v>31</v>
      </c>
      <c r="L17" s="31">
        <f t="shared" ref="L17:O17" si="7">IF(L16&lt;0,0,((L14/L13))*L16)</f>
        <v>194.48113207547172</v>
      </c>
      <c r="M17" s="31">
        <f t="shared" si="7"/>
        <v>273.2903982300885</v>
      </c>
      <c r="N17" s="31">
        <f t="shared" si="7"/>
        <v>461.19787418655102</v>
      </c>
      <c r="O17" s="31">
        <f t="shared" si="7"/>
        <v>616.42561307901906</v>
      </c>
      <c r="P17" s="40">
        <f t="shared" si="0"/>
        <v>3587.0904913982204</v>
      </c>
      <c r="Q17" s="47"/>
      <c r="R17" s="2"/>
      <c r="S17" s="2"/>
      <c r="T17" s="29"/>
      <c r="U17" s="34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39"/>
      <c r="R18" s="39"/>
      <c r="S18" s="2"/>
      <c r="T18" s="39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2.75" customHeight="1" x14ac:dyDescent="0.25">
      <c r="A20" s="2" t="s">
        <v>44</v>
      </c>
      <c r="B20" s="7"/>
      <c r="C20" s="2" t="s">
        <v>7</v>
      </c>
      <c r="D20" s="4">
        <f t="shared" ref="D20:F20" si="8">D11/D7</f>
        <v>30.387096774193548</v>
      </c>
      <c r="E20" s="4">
        <f t="shared" si="8"/>
        <v>31.285714285714285</v>
      </c>
      <c r="F20" s="4">
        <f t="shared" si="8"/>
        <v>24.838709677419356</v>
      </c>
      <c r="G20" s="4">
        <f>G10/G7</f>
        <v>11.2</v>
      </c>
      <c r="H20" s="4">
        <f t="shared" ref="H20:O20" si="9">H11/H7</f>
        <v>17</v>
      </c>
      <c r="I20" s="4">
        <f t="shared" si="9"/>
        <v>13.166666666666666</v>
      </c>
      <c r="J20" s="4">
        <f t="shared" si="9"/>
        <v>6.032258064516129</v>
      </c>
      <c r="K20" s="4">
        <f t="shared" si="9"/>
        <v>11.483870967741936</v>
      </c>
      <c r="L20" s="4">
        <f t="shared" si="9"/>
        <v>15.1</v>
      </c>
      <c r="M20" s="4">
        <f t="shared" si="9"/>
        <v>24.032258064516128</v>
      </c>
      <c r="N20" s="4">
        <f t="shared" si="9"/>
        <v>27.3</v>
      </c>
      <c r="O20" s="4">
        <f t="shared" si="9"/>
        <v>35.225806451612904</v>
      </c>
      <c r="P20" s="4">
        <f>P10/365</f>
        <v>9.786301369863013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2.75" customHeight="1" x14ac:dyDescent="0.3">
      <c r="A21" s="7"/>
      <c r="B21" s="65" t="s">
        <v>45</v>
      </c>
      <c r="C21" s="8" t="s">
        <v>30</v>
      </c>
      <c r="D21" s="4">
        <f t="shared" ref="D21:D22" si="10">SUM(D11)</f>
        <v>942</v>
      </c>
      <c r="E21" s="4">
        <f t="shared" ref="E21:O21" si="11">SUM($D$11:E11)</f>
        <v>1818</v>
      </c>
      <c r="F21" s="4">
        <f t="shared" si="11"/>
        <v>2588</v>
      </c>
      <c r="G21" s="4">
        <f t="shared" si="11"/>
        <v>3280</v>
      </c>
      <c r="H21" s="4">
        <f t="shared" si="11"/>
        <v>3807</v>
      </c>
      <c r="I21" s="4">
        <f t="shared" si="11"/>
        <v>4202</v>
      </c>
      <c r="J21" s="4">
        <f t="shared" si="11"/>
        <v>4389</v>
      </c>
      <c r="K21" s="4">
        <f t="shared" si="11"/>
        <v>4745</v>
      </c>
      <c r="L21" s="4">
        <f t="shared" si="11"/>
        <v>5198</v>
      </c>
      <c r="M21" s="4">
        <f t="shared" si="11"/>
        <v>5943</v>
      </c>
      <c r="N21" s="4">
        <f t="shared" si="11"/>
        <v>6762</v>
      </c>
      <c r="O21" s="4">
        <f t="shared" si="11"/>
        <v>7854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2.75" customHeight="1" x14ac:dyDescent="0.3">
      <c r="A22" s="7"/>
      <c r="B22" s="65" t="s">
        <v>46</v>
      </c>
      <c r="C22" s="8" t="s">
        <v>30</v>
      </c>
      <c r="D22" s="4">
        <f t="shared" si="10"/>
        <v>398</v>
      </c>
      <c r="E22" s="4">
        <f t="shared" ref="E22:O22" si="12">SUM($D$12:E12)</f>
        <v>781</v>
      </c>
      <c r="F22" s="4">
        <f t="shared" si="12"/>
        <v>1098.4000000000001</v>
      </c>
      <c r="G22" s="4">
        <f t="shared" si="12"/>
        <v>1310.4000000000001</v>
      </c>
      <c r="H22" s="4">
        <f t="shared" si="12"/>
        <v>1397.4</v>
      </c>
      <c r="I22" s="4">
        <f t="shared" si="12"/>
        <v>1458.4</v>
      </c>
      <c r="J22" s="4">
        <f t="shared" si="12"/>
        <v>1465.4</v>
      </c>
      <c r="K22" s="4">
        <f t="shared" si="12"/>
        <v>1496.4</v>
      </c>
      <c r="L22" s="4">
        <f t="shared" si="12"/>
        <v>1591.4</v>
      </c>
      <c r="M22" s="4">
        <f t="shared" si="12"/>
        <v>1856.7</v>
      </c>
      <c r="N22" s="4">
        <f t="shared" si="12"/>
        <v>2123.9</v>
      </c>
      <c r="O22" s="4">
        <f t="shared" si="12"/>
        <v>2548.9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2.75" customHeight="1" x14ac:dyDescent="0.3">
      <c r="A23" s="7"/>
      <c r="B23" s="65" t="s">
        <v>47</v>
      </c>
      <c r="C23" s="8" t="s">
        <v>30</v>
      </c>
      <c r="D23" s="4">
        <f>SUM(D16)</f>
        <v>517</v>
      </c>
      <c r="E23" s="4">
        <f t="shared" ref="E23:O23" si="13">SUM($D$16:E16)</f>
        <v>1012</v>
      </c>
      <c r="F23" s="4">
        <f t="shared" si="13"/>
        <v>1394.5</v>
      </c>
      <c r="G23" s="4">
        <f t="shared" si="13"/>
        <v>1661.5</v>
      </c>
      <c r="H23" s="4">
        <f t="shared" si="13"/>
        <v>1748.5</v>
      </c>
      <c r="I23" s="4">
        <f t="shared" si="13"/>
        <v>1809.5</v>
      </c>
      <c r="J23" s="4">
        <f t="shared" si="13"/>
        <v>1816.5</v>
      </c>
      <c r="K23" s="4">
        <f t="shared" si="13"/>
        <v>1847.5</v>
      </c>
      <c r="L23" s="4">
        <f t="shared" si="13"/>
        <v>1942.5</v>
      </c>
      <c r="M23" s="4">
        <f t="shared" si="13"/>
        <v>2252.87</v>
      </c>
      <c r="N23" s="4">
        <f t="shared" si="13"/>
        <v>2648.06</v>
      </c>
      <c r="O23" s="4">
        <f t="shared" si="13"/>
        <v>3312.46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2.75" customHeight="1" x14ac:dyDescent="0.3">
      <c r="A24" s="7"/>
      <c r="B24" s="65" t="s">
        <v>199</v>
      </c>
      <c r="C24" s="8"/>
      <c r="D24" s="4">
        <f t="shared" ref="D24:P24" si="14">(D11-D12-D15)/D7</f>
        <v>13.838709677419354</v>
      </c>
      <c r="E24" s="4">
        <f t="shared" si="14"/>
        <v>14</v>
      </c>
      <c r="F24" s="4">
        <f t="shared" si="14"/>
        <v>12.100000000000001</v>
      </c>
      <c r="G24" s="4">
        <f t="shared" si="14"/>
        <v>11.833333333333334</v>
      </c>
      <c r="H24" s="4">
        <f t="shared" si="14"/>
        <v>9.8387096774193541</v>
      </c>
      <c r="I24" s="4">
        <f t="shared" si="14"/>
        <v>7.8166666666666664</v>
      </c>
      <c r="J24" s="4">
        <f t="shared" si="14"/>
        <v>4.225806451612903</v>
      </c>
      <c r="K24" s="4">
        <f t="shared" si="14"/>
        <v>7.4516129032258061</v>
      </c>
      <c r="L24" s="4">
        <f t="shared" si="14"/>
        <v>8.8666666666666671</v>
      </c>
      <c r="M24" s="4">
        <f t="shared" si="14"/>
        <v>11.453870967741935</v>
      </c>
      <c r="N24" s="4">
        <f t="shared" si="14"/>
        <v>14.266333333333332</v>
      </c>
      <c r="O24" s="4">
        <f t="shared" si="14"/>
        <v>17.72258064516129</v>
      </c>
      <c r="P24" s="4">
        <f t="shared" si="14"/>
        <v>11.098794520547946</v>
      </c>
      <c r="Q24" s="2"/>
      <c r="R24" s="36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2.75" customHeight="1" x14ac:dyDescent="0.3">
      <c r="A25" s="7"/>
      <c r="B25" s="65" t="s">
        <v>49</v>
      </c>
      <c r="C25" s="8" t="s">
        <v>30</v>
      </c>
      <c r="D25" s="10">
        <f>D21+'2008'!$P$11-'2008'!D21</f>
        <v>7398</v>
      </c>
      <c r="E25" s="10">
        <f>E21+'2008'!$P$11-'2008'!E21</f>
        <v>7490</v>
      </c>
      <c r="F25" s="10">
        <f>F21+'2008'!$P$11-'2008'!F21</f>
        <v>7476</v>
      </c>
      <c r="G25" s="10">
        <f>G21+'2008'!$P$11-'2008'!G21</f>
        <v>7512</v>
      </c>
      <c r="H25" s="10">
        <f>H21+'2008'!$P$11-'2008'!H21</f>
        <v>7492</v>
      </c>
      <c r="I25" s="10">
        <f>I21+'2008'!$P$11-'2008'!I21</f>
        <v>7495</v>
      </c>
      <c r="J25" s="10">
        <f>J21+'2008'!$P$11-'2008'!J21</f>
        <v>7412</v>
      </c>
      <c r="K25" s="10">
        <f>K21+'2008'!$P$11-'2008'!K21</f>
        <v>7400</v>
      </c>
      <c r="L25" s="10">
        <f>L21+'2008'!$P$11-'2008'!L21</f>
        <v>7319</v>
      </c>
      <c r="M25" s="10">
        <f>M21+'2008'!$P$11-'2008'!M21</f>
        <v>7454</v>
      </c>
      <c r="N25" s="10">
        <f>N21+'2008'!$P$11-'2008'!N21</f>
        <v>7629</v>
      </c>
      <c r="O25" s="10">
        <f>O21+'2008'!$P$11-'2008'!O21</f>
        <v>7854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  <c r="AA26" s="2"/>
      <c r="AB26" s="2"/>
      <c r="AC26" s="2"/>
      <c r="AD26" s="2"/>
      <c r="AE26" s="2"/>
    </row>
    <row r="27" spans="1:31" ht="12.75" customHeight="1" x14ac:dyDescent="0.25">
      <c r="A27" s="2"/>
      <c r="B27" s="2" t="s">
        <v>52</v>
      </c>
      <c r="C27" s="2"/>
      <c r="D27" s="73">
        <f t="shared" ref="D27:P27" si="15">D16/D11</f>
        <v>0.54883227176220806</v>
      </c>
      <c r="E27" s="73">
        <f t="shared" si="15"/>
        <v>0.56506849315068497</v>
      </c>
      <c r="F27" s="73">
        <f t="shared" si="15"/>
        <v>0.49675324675324678</v>
      </c>
      <c r="G27" s="73">
        <f t="shared" si="15"/>
        <v>0.38583815028901736</v>
      </c>
      <c r="H27" s="73">
        <f t="shared" si="15"/>
        <v>0.16508538899430741</v>
      </c>
      <c r="I27" s="73">
        <f t="shared" si="15"/>
        <v>0.15443037974683543</v>
      </c>
      <c r="J27" s="73">
        <f t="shared" si="15"/>
        <v>3.7433155080213901E-2</v>
      </c>
      <c r="K27" s="73">
        <f t="shared" si="15"/>
        <v>8.7078651685393263E-2</v>
      </c>
      <c r="L27" s="73">
        <f t="shared" si="15"/>
        <v>0.20971302428256069</v>
      </c>
      <c r="M27" s="73">
        <f t="shared" si="15"/>
        <v>0.41660402684563758</v>
      </c>
      <c r="N27" s="73">
        <f t="shared" si="15"/>
        <v>0.48252747252747258</v>
      </c>
      <c r="O27" s="73">
        <f t="shared" si="15"/>
        <v>0.60842490842490837</v>
      </c>
      <c r="P27" s="73">
        <f t="shared" si="15"/>
        <v>0.42175451998981411</v>
      </c>
      <c r="Q27" s="43"/>
      <c r="R27" s="43"/>
      <c r="S27" s="43"/>
      <c r="T27" s="43"/>
      <c r="U27" s="43"/>
      <c r="V27" s="43"/>
      <c r="W27" s="2"/>
      <c r="X27" s="2"/>
      <c r="Y27" s="2"/>
      <c r="Z27" s="2"/>
      <c r="AA27" s="2"/>
      <c r="AB27" s="2"/>
      <c r="AC27" s="2"/>
      <c r="AD27" s="2"/>
      <c r="AE27" s="2"/>
    </row>
    <row r="28" spans="1:31" ht="12.75" customHeight="1" x14ac:dyDescent="0.3">
      <c r="A28" s="2"/>
      <c r="B28" s="65" t="s">
        <v>53</v>
      </c>
      <c r="C28" s="2" t="s">
        <v>269</v>
      </c>
      <c r="D28" s="4">
        <f t="shared" ref="D28:P28" si="16">D16/D13</f>
        <v>0.75917767988252571</v>
      </c>
      <c r="E28" s="4">
        <f t="shared" si="16"/>
        <v>0.77830188679245282</v>
      </c>
      <c r="F28" s="4">
        <f t="shared" si="16"/>
        <v>0.63538205980066442</v>
      </c>
      <c r="G28" s="4">
        <f t="shared" si="16"/>
        <v>0.72162162162162158</v>
      </c>
      <c r="H28" s="4">
        <f t="shared" si="16"/>
        <v>0.80555555555555558</v>
      </c>
      <c r="I28" s="4">
        <f t="shared" si="16"/>
        <v>1.0892857142857142</v>
      </c>
      <c r="J28" s="4">
        <f t="shared" si="16"/>
        <v>1.1666666666666667</v>
      </c>
      <c r="K28" s="4">
        <f t="shared" si="16"/>
        <v>2.8181818181818183</v>
      </c>
      <c r="L28" s="4">
        <f t="shared" si="16"/>
        <v>0.89622641509433965</v>
      </c>
      <c r="M28" s="4">
        <f t="shared" si="16"/>
        <v>0.68665929203539822</v>
      </c>
      <c r="N28" s="4">
        <f t="shared" si="16"/>
        <v>0.85724511930585701</v>
      </c>
      <c r="O28" s="4">
        <f t="shared" si="16"/>
        <v>0.90517711171662119</v>
      </c>
      <c r="P28" s="4">
        <f t="shared" si="16"/>
        <v>0.78438550793274919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2.75" customHeight="1" x14ac:dyDescent="0.3">
      <c r="A29" s="2"/>
      <c r="B29" s="65" t="s">
        <v>53</v>
      </c>
      <c r="C29" s="8" t="s">
        <v>7</v>
      </c>
      <c r="D29" s="4">
        <f t="shared" ref="D29:P29" si="17">D16/D7</f>
        <v>16.677419354838708</v>
      </c>
      <c r="E29" s="4">
        <f t="shared" si="17"/>
        <v>17.678571428571427</v>
      </c>
      <c r="F29" s="4">
        <f t="shared" si="17"/>
        <v>12.338709677419354</v>
      </c>
      <c r="G29" s="4">
        <f t="shared" si="17"/>
        <v>8.9</v>
      </c>
      <c r="H29" s="4">
        <f t="shared" si="17"/>
        <v>2.806451612903226</v>
      </c>
      <c r="I29" s="4">
        <f t="shared" si="17"/>
        <v>2.0333333333333332</v>
      </c>
      <c r="J29" s="4">
        <f t="shared" si="17"/>
        <v>0.22580645161290322</v>
      </c>
      <c r="K29" s="4">
        <f t="shared" si="17"/>
        <v>1</v>
      </c>
      <c r="L29" s="4">
        <f t="shared" si="17"/>
        <v>3.1666666666666665</v>
      </c>
      <c r="M29" s="4">
        <f t="shared" si="17"/>
        <v>10.011935483870968</v>
      </c>
      <c r="N29" s="4">
        <f t="shared" si="17"/>
        <v>13.173000000000002</v>
      </c>
      <c r="O29" s="4">
        <f t="shared" si="17"/>
        <v>21.432258064516127</v>
      </c>
      <c r="P29" s="4">
        <f t="shared" si="17"/>
        <v>9.0752328767123291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2.75" customHeight="1" x14ac:dyDescent="0.3">
      <c r="A30" s="2"/>
      <c r="B30" s="65" t="s">
        <v>55</v>
      </c>
      <c r="C30" s="8" t="s">
        <v>7</v>
      </c>
      <c r="D30" s="4">
        <f t="shared" ref="D30:P30" si="18">D17/D7</f>
        <v>18.195774714603761</v>
      </c>
      <c r="E30" s="4">
        <f t="shared" si="18"/>
        <v>19.262971698113205</v>
      </c>
      <c r="F30" s="4">
        <f t="shared" si="18"/>
        <v>12.72813739149073</v>
      </c>
      <c r="G30" s="4">
        <f t="shared" si="18"/>
        <v>10.15081081081081</v>
      </c>
      <c r="H30" s="4">
        <f t="shared" si="18"/>
        <v>4.521505376344086</v>
      </c>
      <c r="I30" s="4">
        <f t="shared" si="18"/>
        <v>2.0333333333333332</v>
      </c>
      <c r="J30" s="4">
        <f t="shared" si="18"/>
        <v>0.22580645161290322</v>
      </c>
      <c r="K30" s="4">
        <f t="shared" si="18"/>
        <v>1</v>
      </c>
      <c r="L30" s="4">
        <f t="shared" si="18"/>
        <v>6.4827044025157239</v>
      </c>
      <c r="M30" s="4">
        <f t="shared" si="18"/>
        <v>8.81581929774479</v>
      </c>
      <c r="N30" s="4">
        <f t="shared" si="18"/>
        <v>15.373262472885035</v>
      </c>
      <c r="O30" s="4">
        <f t="shared" si="18"/>
        <v>19.884697196097388</v>
      </c>
      <c r="P30" s="4">
        <f t="shared" si="18"/>
        <v>9.8276451819129331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2.75" customHeight="1" x14ac:dyDescent="0.3">
      <c r="A31" s="2"/>
      <c r="B31" s="65" t="s">
        <v>56</v>
      </c>
      <c r="C31" s="2" t="s">
        <v>270</v>
      </c>
      <c r="D31" s="4">
        <f t="shared" ref="D31:P31" si="19">D16/$F$4</f>
        <v>2.1370701058201056</v>
      </c>
      <c r="E31" s="4">
        <f t="shared" si="19"/>
        <v>2.0461309523809521</v>
      </c>
      <c r="F31" s="4">
        <f t="shared" si="19"/>
        <v>1.5811011904761905</v>
      </c>
      <c r="G31" s="4">
        <f t="shared" si="19"/>
        <v>1.1036706349206349</v>
      </c>
      <c r="H31" s="4">
        <f t="shared" si="19"/>
        <v>0.35962301587301587</v>
      </c>
      <c r="I31" s="4">
        <f t="shared" si="19"/>
        <v>0.25214947089947087</v>
      </c>
      <c r="J31" s="4">
        <f t="shared" si="19"/>
        <v>2.8935185185185182E-2</v>
      </c>
      <c r="K31" s="4">
        <f t="shared" si="19"/>
        <v>0.12814153439153439</v>
      </c>
      <c r="L31" s="4">
        <f t="shared" si="19"/>
        <v>0.3926917989417989</v>
      </c>
      <c r="M31" s="4">
        <f t="shared" si="19"/>
        <v>1.2829447751322751</v>
      </c>
      <c r="N31" s="4">
        <f t="shared" si="19"/>
        <v>1.6335565476190477</v>
      </c>
      <c r="O31" s="4">
        <f t="shared" si="19"/>
        <v>2.7463624338624335</v>
      </c>
      <c r="P31" s="4">
        <f t="shared" si="19"/>
        <v>13.692377645502646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2.75" customHeight="1" x14ac:dyDescent="0.3">
      <c r="A32" s="2"/>
      <c r="B32" s="65" t="s">
        <v>56</v>
      </c>
      <c r="C32" s="2" t="s">
        <v>271</v>
      </c>
      <c r="D32" s="4">
        <f t="shared" ref="D32:P32" si="20">D16/$F$3</f>
        <v>5.385416666666667</v>
      </c>
      <c r="E32" s="4">
        <f t="shared" si="20"/>
        <v>5.15625</v>
      </c>
      <c r="F32" s="4">
        <f t="shared" si="20"/>
        <v>3.984375</v>
      </c>
      <c r="G32" s="4">
        <f t="shared" si="20"/>
        <v>2.78125</v>
      </c>
      <c r="H32" s="4">
        <f t="shared" si="20"/>
        <v>0.90625</v>
      </c>
      <c r="I32" s="4">
        <f t="shared" si="20"/>
        <v>0.63541666666666663</v>
      </c>
      <c r="J32" s="4">
        <f t="shared" si="20"/>
        <v>7.2916666666666671E-2</v>
      </c>
      <c r="K32" s="4">
        <f t="shared" si="20"/>
        <v>0.32291666666666669</v>
      </c>
      <c r="L32" s="4">
        <f t="shared" si="20"/>
        <v>0.98958333333333337</v>
      </c>
      <c r="M32" s="4">
        <f t="shared" si="20"/>
        <v>3.2330208333333332</v>
      </c>
      <c r="N32" s="4">
        <f t="shared" si="20"/>
        <v>4.1165625000000006</v>
      </c>
      <c r="O32" s="4">
        <f t="shared" si="20"/>
        <v>6.9208333333333334</v>
      </c>
      <c r="P32" s="4">
        <f t="shared" si="20"/>
        <v>34.504791666666669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2.75" customHeight="1" x14ac:dyDescent="0.3">
      <c r="A33" s="2"/>
      <c r="B33" s="65" t="s">
        <v>59</v>
      </c>
      <c r="C33" s="2" t="s">
        <v>272</v>
      </c>
      <c r="D33" s="4">
        <f t="shared" ref="D33:P33" si="21">D17/$F$4</f>
        <v>2.3316344913720095</v>
      </c>
      <c r="E33" s="4">
        <f t="shared" si="21"/>
        <v>2.2295106132075468</v>
      </c>
      <c r="F33" s="4">
        <f t="shared" si="21"/>
        <v>1.6310030552918839</v>
      </c>
      <c r="G33" s="4">
        <f t="shared" si="21"/>
        <v>1.2587811025311024</v>
      </c>
      <c r="H33" s="4">
        <f t="shared" si="21"/>
        <v>0.5793926366843033</v>
      </c>
      <c r="I33" s="4">
        <f t="shared" si="21"/>
        <v>0.25214947089947087</v>
      </c>
      <c r="J33" s="4">
        <f t="shared" si="21"/>
        <v>2.8935185185185182E-2</v>
      </c>
      <c r="K33" s="4">
        <f t="shared" si="21"/>
        <v>0.12814153439153439</v>
      </c>
      <c r="L33" s="4">
        <f t="shared" si="21"/>
        <v>0.8039067959468903</v>
      </c>
      <c r="M33" s="4">
        <f t="shared" si="21"/>
        <v>1.1296726117315166</v>
      </c>
      <c r="N33" s="4">
        <f t="shared" si="21"/>
        <v>1.9064065566573702</v>
      </c>
      <c r="O33" s="4">
        <f t="shared" si="21"/>
        <v>2.5480556096189608</v>
      </c>
      <c r="P33" s="4">
        <f t="shared" si="21"/>
        <v>14.827589663517776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2.75" customHeight="1" x14ac:dyDescent="0.3">
      <c r="A34" s="2"/>
      <c r="B34" s="65" t="s">
        <v>59</v>
      </c>
      <c r="C34" s="2" t="s">
        <v>273</v>
      </c>
      <c r="D34" s="4">
        <f t="shared" ref="D34:P34" si="22">D17/$F$3</f>
        <v>5.8757189182574647</v>
      </c>
      <c r="E34" s="4">
        <f t="shared" si="22"/>
        <v>5.6183667452830184</v>
      </c>
      <c r="F34" s="4">
        <f t="shared" si="22"/>
        <v>4.110127699335548</v>
      </c>
      <c r="G34" s="4">
        <f t="shared" si="22"/>
        <v>3.1721283783783782</v>
      </c>
      <c r="H34" s="4">
        <f t="shared" si="22"/>
        <v>1.4600694444444444</v>
      </c>
      <c r="I34" s="4">
        <f t="shared" si="22"/>
        <v>0.63541666666666663</v>
      </c>
      <c r="J34" s="4">
        <f t="shared" si="22"/>
        <v>7.2916666666666671E-2</v>
      </c>
      <c r="K34" s="4">
        <f t="shared" si="22"/>
        <v>0.32291666666666669</v>
      </c>
      <c r="L34" s="4">
        <f t="shared" si="22"/>
        <v>2.0258451257861636</v>
      </c>
      <c r="M34" s="4">
        <f t="shared" si="22"/>
        <v>2.846774981563422</v>
      </c>
      <c r="N34" s="4">
        <f t="shared" si="22"/>
        <v>4.8041445227765731</v>
      </c>
      <c r="O34" s="4">
        <f t="shared" si="22"/>
        <v>6.4211001362397822</v>
      </c>
      <c r="P34" s="4">
        <f t="shared" si="22"/>
        <v>37.365525952064793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2.75" customHeight="1" x14ac:dyDescent="0.3">
      <c r="A35" s="2"/>
      <c r="B35" s="65" t="s">
        <v>56</v>
      </c>
      <c r="C35" s="2" t="s">
        <v>274</v>
      </c>
      <c r="D35" s="4">
        <f t="shared" ref="D35:P35" si="23">1000*D31/D13</f>
        <v>3.1381352508371596</v>
      </c>
      <c r="E35" s="4">
        <f t="shared" si="23"/>
        <v>3.2171870320455223</v>
      </c>
      <c r="F35" s="4">
        <f t="shared" si="23"/>
        <v>2.6264139376680902</v>
      </c>
      <c r="G35" s="4">
        <f t="shared" si="23"/>
        <v>2.9828936078936081</v>
      </c>
      <c r="H35" s="4">
        <f t="shared" si="23"/>
        <v>3.3298427395649615</v>
      </c>
      <c r="I35" s="4">
        <f t="shared" si="23"/>
        <v>4.5026691232048375</v>
      </c>
      <c r="J35" s="4">
        <f t="shared" si="23"/>
        <v>4.8225308641975309</v>
      </c>
      <c r="K35" s="4">
        <f t="shared" si="23"/>
        <v>11.649230399230397</v>
      </c>
      <c r="L35" s="4">
        <f t="shared" si="23"/>
        <v>3.7046396126584802</v>
      </c>
      <c r="M35" s="4">
        <f t="shared" si="23"/>
        <v>2.838373396310343</v>
      </c>
      <c r="N35" s="4">
        <f t="shared" si="23"/>
        <v>3.543506610887305</v>
      </c>
      <c r="O35" s="4">
        <f t="shared" si="23"/>
        <v>3.7416381932730705</v>
      </c>
      <c r="P35" s="4">
        <f t="shared" si="23"/>
        <v>3.2423342755156632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customHeight="1" x14ac:dyDescent="0.25">
      <c r="A36" s="2"/>
      <c r="B36" s="2"/>
      <c r="C36" s="2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customHeight="1" x14ac:dyDescent="0.3">
      <c r="A39" s="2"/>
      <c r="B39" s="65" t="s">
        <v>64</v>
      </c>
      <c r="C39" s="2"/>
      <c r="D39" s="10">
        <v>3000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customHeight="1" x14ac:dyDescent="0.3">
      <c r="A40" s="2"/>
      <c r="B40" s="65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2600</v>
      </c>
      <c r="L40" s="8" t="s">
        <v>30</v>
      </c>
      <c r="M40" s="4"/>
      <c r="N40" s="10">
        <f>SUM(D40:D41,K39)</f>
        <v>10457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0.4642857142857143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2.75" customHeight="1" x14ac:dyDescent="0.3">
      <c r="A42" s="2"/>
      <c r="B42" s="65" t="s">
        <v>25</v>
      </c>
      <c r="C42" s="2"/>
      <c r="D42" s="10">
        <f>SUM(D39:D41)</f>
        <v>7857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0.2486372764655255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10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2" width="8.44140625" customWidth="1"/>
    <col min="23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2008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275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10.195652173913043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276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10"/>
      <c r="G5" s="10"/>
      <c r="H5" s="10"/>
      <c r="I5" s="10"/>
      <c r="J5" s="10"/>
      <c r="K5" s="9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6.2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17"/>
      <c r="R6" s="7">
        <f>P11/F3</f>
        <v>77.427083333333329</v>
      </c>
      <c r="S6" s="7"/>
      <c r="T6" s="7"/>
      <c r="U6" s="7"/>
      <c r="V6" s="7"/>
      <c r="W6" s="7"/>
      <c r="X6" s="7"/>
      <c r="Y6" s="7"/>
      <c r="Z6" s="7"/>
    </row>
    <row r="7" spans="1:26" ht="12" hidden="1" customHeight="1" x14ac:dyDescent="0.25">
      <c r="A7" s="12"/>
      <c r="B7" s="13"/>
      <c r="C7" s="14"/>
      <c r="D7" s="77">
        <v>31</v>
      </c>
      <c r="E7" s="77">
        <v>29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2008</v>
      </c>
      <c r="B8" s="25" t="s">
        <v>27</v>
      </c>
      <c r="C8" s="26" t="s">
        <v>277</v>
      </c>
      <c r="D8" s="27">
        <v>-1.1000000000000001</v>
      </c>
      <c r="E8" s="27">
        <v>-0.3</v>
      </c>
      <c r="F8" s="27">
        <v>-0.5</v>
      </c>
      <c r="G8" s="27">
        <v>6.8</v>
      </c>
      <c r="H8" s="27">
        <v>10.1</v>
      </c>
      <c r="I8" s="27">
        <v>13.9</v>
      </c>
      <c r="J8" s="27">
        <v>16.3</v>
      </c>
      <c r="K8" s="27">
        <v>14.4</v>
      </c>
      <c r="L8" s="27">
        <v>9.1</v>
      </c>
      <c r="M8" s="27">
        <v>7.1</v>
      </c>
      <c r="N8" s="27">
        <v>1.4</v>
      </c>
      <c r="O8" s="27">
        <v>-0.3</v>
      </c>
      <c r="P8" s="27">
        <f>AVERAGE(D8:O8)</f>
        <v>6.4083333333333341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2008</v>
      </c>
      <c r="B9" s="25" t="s">
        <v>29</v>
      </c>
      <c r="C9" s="30" t="s">
        <v>30</v>
      </c>
      <c r="D9" s="31">
        <v>580</v>
      </c>
      <c r="E9" s="31">
        <v>449</v>
      </c>
      <c r="F9" s="31">
        <v>425</v>
      </c>
      <c r="G9" s="31">
        <v>343</v>
      </c>
      <c r="H9" s="31">
        <v>265</v>
      </c>
      <c r="I9" s="31">
        <v>192</v>
      </c>
      <c r="J9" s="31">
        <v>134</v>
      </c>
      <c r="K9" s="31">
        <v>190</v>
      </c>
      <c r="L9" s="31">
        <v>274</v>
      </c>
      <c r="M9" s="31">
        <v>344</v>
      </c>
      <c r="N9" s="31">
        <v>359</v>
      </c>
      <c r="O9" s="31">
        <v>506</v>
      </c>
      <c r="P9" s="31">
        <f t="shared" ref="P9:P17" si="0">SUM(D9:O9)</f>
        <v>4061</v>
      </c>
      <c r="Q9" s="2"/>
      <c r="R9" s="34">
        <f t="shared" ref="R9:R12" si="1">P9/$P$11</f>
        <v>0.54634736983721244</v>
      </c>
      <c r="S9" s="34"/>
      <c r="T9" s="29">
        <f>SUM(D9:M9)+(SUM('2007'!N9:O9))</f>
        <v>4214</v>
      </c>
      <c r="U9" s="2"/>
      <c r="V9" s="2"/>
      <c r="W9" s="2"/>
      <c r="X9" s="2"/>
      <c r="Y9" s="2"/>
      <c r="Z9" s="2"/>
    </row>
    <row r="10" spans="1:26" ht="12.75" customHeight="1" x14ac:dyDescent="0.25">
      <c r="A10" s="24">
        <v>2008</v>
      </c>
      <c r="B10" s="25" t="s">
        <v>31</v>
      </c>
      <c r="C10" s="30" t="s">
        <v>30</v>
      </c>
      <c r="D10" s="31">
        <v>397</v>
      </c>
      <c r="E10" s="31">
        <v>335</v>
      </c>
      <c r="F10" s="31">
        <v>359</v>
      </c>
      <c r="G10" s="31">
        <v>313</v>
      </c>
      <c r="H10" s="31">
        <v>282</v>
      </c>
      <c r="I10" s="31">
        <v>200</v>
      </c>
      <c r="J10" s="31">
        <v>136</v>
      </c>
      <c r="K10" s="31">
        <v>178</v>
      </c>
      <c r="L10" s="31">
        <v>260</v>
      </c>
      <c r="M10" s="31">
        <v>266</v>
      </c>
      <c r="N10" s="31">
        <v>285</v>
      </c>
      <c r="O10" s="31">
        <v>361</v>
      </c>
      <c r="P10" s="31">
        <f t="shared" si="0"/>
        <v>3372</v>
      </c>
      <c r="Q10" s="39"/>
      <c r="R10" s="34">
        <f t="shared" si="1"/>
        <v>0.45365263016278756</v>
      </c>
      <c r="S10" s="34"/>
      <c r="T10" s="29">
        <f>SUM(D10:M10)+(SUM('2007'!N10:O10))</f>
        <v>3440</v>
      </c>
      <c r="U10" s="2"/>
      <c r="V10" s="2"/>
      <c r="W10" s="2"/>
      <c r="X10" s="2"/>
      <c r="Y10" s="2"/>
      <c r="Z10" s="2"/>
    </row>
    <row r="11" spans="1:26" ht="12.75" customHeight="1" x14ac:dyDescent="0.25">
      <c r="A11" s="24">
        <v>2008</v>
      </c>
      <c r="B11" s="25" t="s">
        <v>32</v>
      </c>
      <c r="C11" s="30" t="s">
        <v>30</v>
      </c>
      <c r="D11" s="31">
        <f t="shared" ref="D11:O11" si="2">SUM(D9:D10)</f>
        <v>977</v>
      </c>
      <c r="E11" s="31">
        <f t="shared" si="2"/>
        <v>784</v>
      </c>
      <c r="F11" s="31">
        <f t="shared" si="2"/>
        <v>784</v>
      </c>
      <c r="G11" s="31">
        <f t="shared" si="2"/>
        <v>656</v>
      </c>
      <c r="H11" s="31">
        <f t="shared" si="2"/>
        <v>547</v>
      </c>
      <c r="I11" s="31">
        <f t="shared" si="2"/>
        <v>392</v>
      </c>
      <c r="J11" s="31">
        <f t="shared" si="2"/>
        <v>270</v>
      </c>
      <c r="K11" s="31">
        <f t="shared" si="2"/>
        <v>368</v>
      </c>
      <c r="L11" s="31">
        <f t="shared" si="2"/>
        <v>534</v>
      </c>
      <c r="M11" s="31">
        <f t="shared" si="2"/>
        <v>610</v>
      </c>
      <c r="N11" s="31">
        <f t="shared" si="2"/>
        <v>644</v>
      </c>
      <c r="O11" s="31">
        <f t="shared" si="2"/>
        <v>867</v>
      </c>
      <c r="P11" s="40">
        <f t="shared" si="0"/>
        <v>7433</v>
      </c>
      <c r="Q11" s="39"/>
      <c r="R11" s="34">
        <f t="shared" si="1"/>
        <v>1</v>
      </c>
      <c r="S11" s="34"/>
      <c r="T11" s="29">
        <f>SUM(D11:M11)+(SUM('2007'!N11:O11))</f>
        <v>7654</v>
      </c>
      <c r="U11" s="2"/>
      <c r="V11" s="11"/>
      <c r="W11" s="2"/>
      <c r="X11" s="2"/>
      <c r="Y11" s="2"/>
      <c r="Z11" s="2"/>
    </row>
    <row r="12" spans="1:26" ht="12.75" customHeight="1" x14ac:dyDescent="0.25">
      <c r="A12" s="24">
        <v>2008</v>
      </c>
      <c r="B12" s="25" t="s">
        <v>33</v>
      </c>
      <c r="C12" s="30" t="s">
        <v>30</v>
      </c>
      <c r="D12" s="31">
        <v>355</v>
      </c>
      <c r="E12" s="31">
        <v>310</v>
      </c>
      <c r="F12" s="31">
        <v>344</v>
      </c>
      <c r="G12" s="31">
        <v>173</v>
      </c>
      <c r="H12" s="31">
        <v>105</v>
      </c>
      <c r="I12" s="31">
        <v>30</v>
      </c>
      <c r="J12" s="31">
        <v>2</v>
      </c>
      <c r="K12" s="31">
        <v>60</v>
      </c>
      <c r="L12" s="31">
        <v>140</v>
      </c>
      <c r="M12" s="31">
        <v>180</v>
      </c>
      <c r="N12" s="31">
        <v>236</v>
      </c>
      <c r="O12" s="31">
        <v>326</v>
      </c>
      <c r="P12" s="31">
        <f t="shared" si="0"/>
        <v>2261</v>
      </c>
      <c r="Q12" s="39"/>
      <c r="R12" s="34">
        <f t="shared" si="1"/>
        <v>0.30418404412753935</v>
      </c>
      <c r="S12" s="34"/>
      <c r="T12" s="29">
        <f>SUM(D12:M12)+(SUM('2007'!N12:O12))</f>
        <v>2331</v>
      </c>
      <c r="U12" s="2"/>
      <c r="V12" s="2"/>
      <c r="W12" s="2"/>
      <c r="X12" s="2"/>
      <c r="Y12" s="2"/>
      <c r="Z12" s="2"/>
    </row>
    <row r="13" spans="1:26" ht="12.75" customHeight="1" x14ac:dyDescent="0.25">
      <c r="A13" s="24">
        <v>2008</v>
      </c>
      <c r="B13" s="41" t="s">
        <v>36</v>
      </c>
      <c r="C13" s="26" t="s">
        <v>278</v>
      </c>
      <c r="D13" s="31">
        <v>560</v>
      </c>
      <c r="E13" s="31">
        <v>505</v>
      </c>
      <c r="F13" s="31">
        <v>564</v>
      </c>
      <c r="G13" s="31">
        <v>321</v>
      </c>
      <c r="H13" s="31">
        <v>159</v>
      </c>
      <c r="I13" s="31">
        <v>8</v>
      </c>
      <c r="J13" s="31">
        <v>0</v>
      </c>
      <c r="K13" s="31">
        <v>33</v>
      </c>
      <c r="L13" s="31">
        <v>225</v>
      </c>
      <c r="M13" s="31">
        <v>304</v>
      </c>
      <c r="N13" s="31">
        <v>465</v>
      </c>
      <c r="O13" s="31">
        <v>537</v>
      </c>
      <c r="P13" s="31">
        <f t="shared" si="0"/>
        <v>3681</v>
      </c>
      <c r="Q13" s="36"/>
      <c r="R13" s="11"/>
      <c r="S13" s="34"/>
      <c r="T13" s="29">
        <f>SUM(D13:M13)+(SUM('2007'!N13:O13))</f>
        <v>3704</v>
      </c>
      <c r="U13" s="34"/>
      <c r="V13" s="11"/>
      <c r="W13" s="2"/>
      <c r="X13" s="2"/>
      <c r="Y13" s="2"/>
      <c r="Z13" s="2"/>
    </row>
    <row r="14" spans="1:26" ht="12.75" customHeight="1" x14ac:dyDescent="0.25">
      <c r="A14" s="24">
        <v>2008</v>
      </c>
      <c r="B14" s="41" t="s">
        <v>39</v>
      </c>
      <c r="C14" s="26" t="s">
        <v>279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4">
        <f>(P14-P13)/$P$14</f>
        <v>0.19187705817782658</v>
      </c>
      <c r="S14" s="2"/>
      <c r="T14" s="43"/>
      <c r="U14" s="43"/>
      <c r="V14" s="43"/>
      <c r="W14" s="2"/>
      <c r="X14" s="2"/>
      <c r="Y14" s="2"/>
      <c r="Z14" s="2"/>
    </row>
    <row r="15" spans="1:26" ht="12.75" customHeight="1" x14ac:dyDescent="0.25">
      <c r="A15" s="24">
        <v>2008</v>
      </c>
      <c r="B15" s="25" t="s">
        <v>41</v>
      </c>
      <c r="C15" s="30" t="s">
        <v>30</v>
      </c>
      <c r="D15" s="31">
        <v>117</v>
      </c>
      <c r="E15" s="31">
        <v>110</v>
      </c>
      <c r="F15" s="31">
        <v>84</v>
      </c>
      <c r="G15" s="31">
        <v>119</v>
      </c>
      <c r="H15" s="31">
        <v>128</v>
      </c>
      <c r="I15" s="31">
        <v>87</v>
      </c>
      <c r="J15" s="31">
        <v>59</v>
      </c>
      <c r="K15" s="31">
        <v>84</v>
      </c>
      <c r="L15" s="31">
        <v>108</v>
      </c>
      <c r="M15" s="31">
        <v>112</v>
      </c>
      <c r="N15" s="31">
        <v>83</v>
      </c>
      <c r="O15" s="31">
        <v>112</v>
      </c>
      <c r="P15" s="31">
        <f t="shared" si="0"/>
        <v>1203</v>
      </c>
      <c r="Q15" s="2"/>
      <c r="R15" s="2">
        <f>(P13-'2007'!P13)/'2007'!P13</f>
        <v>-5.5911772249294688E-2</v>
      </c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4">
        <v>2008</v>
      </c>
      <c r="B16" s="25" t="s">
        <v>42</v>
      </c>
      <c r="C16" s="30" t="s">
        <v>30</v>
      </c>
      <c r="D16" s="31">
        <f t="shared" ref="D16:I16" si="3">D11-D15-D7*($K$3)</f>
        <v>550</v>
      </c>
      <c r="E16" s="31">
        <f t="shared" si="3"/>
        <v>384</v>
      </c>
      <c r="F16" s="31">
        <f t="shared" si="3"/>
        <v>390</v>
      </c>
      <c r="G16" s="31">
        <f t="shared" si="3"/>
        <v>237</v>
      </c>
      <c r="H16" s="31">
        <f t="shared" si="3"/>
        <v>109</v>
      </c>
      <c r="I16" s="31">
        <f t="shared" si="3"/>
        <v>5</v>
      </c>
      <c r="J16" s="31">
        <v>2</v>
      </c>
      <c r="K16" s="31">
        <f t="shared" ref="K16:O16" si="4">K11-K15-K7*($K$3)</f>
        <v>-26</v>
      </c>
      <c r="L16" s="31">
        <f t="shared" si="4"/>
        <v>126</v>
      </c>
      <c r="M16" s="31">
        <f t="shared" si="4"/>
        <v>188</v>
      </c>
      <c r="N16" s="31">
        <f t="shared" si="4"/>
        <v>261</v>
      </c>
      <c r="O16" s="31">
        <f t="shared" si="4"/>
        <v>445</v>
      </c>
      <c r="P16" s="31">
        <f t="shared" si="0"/>
        <v>2671</v>
      </c>
      <c r="Q16" s="2"/>
      <c r="R16" s="34"/>
      <c r="S16" s="2"/>
      <c r="T16" s="11"/>
      <c r="U16" s="2"/>
      <c r="V16" s="11"/>
      <c r="W16" s="2"/>
      <c r="X16" s="2"/>
      <c r="Y16" s="2"/>
      <c r="Z16" s="2"/>
    </row>
    <row r="17" spans="1:26" ht="12.75" customHeight="1" x14ac:dyDescent="0.25">
      <c r="A17" s="24">
        <v>2008</v>
      </c>
      <c r="B17" s="25" t="s">
        <v>43</v>
      </c>
      <c r="C17" s="30" t="s">
        <v>30</v>
      </c>
      <c r="D17" s="31">
        <f t="shared" ref="D17:H17" si="5">IF(D16&lt;0,0,((D14/D13))*D16)</f>
        <v>729.73214285714278</v>
      </c>
      <c r="E17" s="31">
        <f t="shared" si="5"/>
        <v>526.95445544554457</v>
      </c>
      <c r="F17" s="31">
        <f t="shared" si="5"/>
        <v>429.41489361702122</v>
      </c>
      <c r="G17" s="31">
        <f t="shared" si="5"/>
        <v>311.57009345794393</v>
      </c>
      <c r="H17" s="31">
        <f t="shared" si="5"/>
        <v>119.28301886792453</v>
      </c>
      <c r="I17" s="46">
        <f t="shared" ref="I17:K17" si="6">I16</f>
        <v>5</v>
      </c>
      <c r="J17" s="46">
        <f t="shared" si="6"/>
        <v>2</v>
      </c>
      <c r="K17" s="46">
        <f t="shared" si="6"/>
        <v>-26</v>
      </c>
      <c r="L17" s="31">
        <f t="shared" ref="L17:O17" si="7">IF(L16&lt;0,0,((L14/L13))*L16)</f>
        <v>121.52</v>
      </c>
      <c r="M17" s="31">
        <f t="shared" si="7"/>
        <v>246.13157894736841</v>
      </c>
      <c r="N17" s="31">
        <f t="shared" si="7"/>
        <v>301.97419354838712</v>
      </c>
      <c r="O17" s="31">
        <f t="shared" si="7"/>
        <v>564.32960893854749</v>
      </c>
      <c r="P17" s="40">
        <f t="shared" si="0"/>
        <v>3331.9099856798803</v>
      </c>
      <c r="Q17" s="47"/>
      <c r="R17" s="34"/>
      <c r="S17" s="2"/>
      <c r="T17" s="2"/>
      <c r="U17" s="34"/>
      <c r="V17" s="2"/>
      <c r="W17" s="2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F20" si="8">D11/D7</f>
        <v>31.516129032258064</v>
      </c>
      <c r="E20" s="4">
        <f t="shared" si="8"/>
        <v>27.03448275862069</v>
      </c>
      <c r="F20" s="4">
        <f t="shared" si="8"/>
        <v>25.29032258064516</v>
      </c>
      <c r="G20" s="4">
        <f>G10/G7</f>
        <v>10.433333333333334</v>
      </c>
      <c r="H20" s="4">
        <f t="shared" ref="H20:O20" si="9">H11/H7</f>
        <v>17.64516129032258</v>
      </c>
      <c r="I20" s="4">
        <f t="shared" si="9"/>
        <v>13.066666666666666</v>
      </c>
      <c r="J20" s="4">
        <f t="shared" si="9"/>
        <v>8.7096774193548381</v>
      </c>
      <c r="K20" s="4">
        <f t="shared" si="9"/>
        <v>11.870967741935484</v>
      </c>
      <c r="L20" s="4">
        <f t="shared" si="9"/>
        <v>17.8</v>
      </c>
      <c r="M20" s="4">
        <f t="shared" si="9"/>
        <v>19.677419354838708</v>
      </c>
      <c r="N20" s="4">
        <f t="shared" si="9"/>
        <v>21.466666666666665</v>
      </c>
      <c r="O20" s="4">
        <f t="shared" si="9"/>
        <v>27.967741935483872</v>
      </c>
      <c r="P20" s="4">
        <f>P10/365</f>
        <v>9.2383561643835623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0">SUM(D11)</f>
        <v>977</v>
      </c>
      <c r="E21" s="4">
        <f t="shared" ref="E21:O21" si="11">SUM($D$11:E11)</f>
        <v>1761</v>
      </c>
      <c r="F21" s="4">
        <f t="shared" si="11"/>
        <v>2545</v>
      </c>
      <c r="G21" s="4">
        <f t="shared" si="11"/>
        <v>3201</v>
      </c>
      <c r="H21" s="4">
        <f t="shared" si="11"/>
        <v>3748</v>
      </c>
      <c r="I21" s="4">
        <f t="shared" si="11"/>
        <v>4140</v>
      </c>
      <c r="J21" s="4">
        <f t="shared" si="11"/>
        <v>4410</v>
      </c>
      <c r="K21" s="4">
        <f t="shared" si="11"/>
        <v>4778</v>
      </c>
      <c r="L21" s="4">
        <f t="shared" si="11"/>
        <v>5312</v>
      </c>
      <c r="M21" s="4">
        <f t="shared" si="11"/>
        <v>5922</v>
      </c>
      <c r="N21" s="4">
        <f t="shared" si="11"/>
        <v>6566</v>
      </c>
      <c r="O21" s="4">
        <f t="shared" si="11"/>
        <v>7433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0"/>
        <v>355</v>
      </c>
      <c r="E22" s="4">
        <f t="shared" ref="E22:O22" si="12">SUM($D$12:E12)</f>
        <v>665</v>
      </c>
      <c r="F22" s="4">
        <f t="shared" si="12"/>
        <v>1009</v>
      </c>
      <c r="G22" s="4">
        <f t="shared" si="12"/>
        <v>1182</v>
      </c>
      <c r="H22" s="4">
        <f t="shared" si="12"/>
        <v>1287</v>
      </c>
      <c r="I22" s="4">
        <f t="shared" si="12"/>
        <v>1317</v>
      </c>
      <c r="J22" s="4">
        <f t="shared" si="12"/>
        <v>1319</v>
      </c>
      <c r="K22" s="4">
        <f t="shared" si="12"/>
        <v>1379</v>
      </c>
      <c r="L22" s="4">
        <f t="shared" si="12"/>
        <v>1519</v>
      </c>
      <c r="M22" s="4">
        <f t="shared" si="12"/>
        <v>1699</v>
      </c>
      <c r="N22" s="4">
        <f t="shared" si="12"/>
        <v>1935</v>
      </c>
      <c r="O22" s="4">
        <f t="shared" si="12"/>
        <v>2261</v>
      </c>
      <c r="P22" s="4"/>
      <c r="Q22" s="2"/>
      <c r="R22" s="11">
        <f>'2007'!D17-'2008'!D17</f>
        <v>500.4235175202158</v>
      </c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550</v>
      </c>
      <c r="E23" s="4">
        <f t="shared" ref="E23:O23" si="13">SUM($D$16:E16)</f>
        <v>934</v>
      </c>
      <c r="F23" s="4">
        <f t="shared" si="13"/>
        <v>1324</v>
      </c>
      <c r="G23" s="4">
        <f t="shared" si="13"/>
        <v>1561</v>
      </c>
      <c r="H23" s="4">
        <f t="shared" si="13"/>
        <v>1670</v>
      </c>
      <c r="I23" s="4">
        <f t="shared" si="13"/>
        <v>1675</v>
      </c>
      <c r="J23" s="4">
        <f t="shared" si="13"/>
        <v>1677</v>
      </c>
      <c r="K23" s="4">
        <f t="shared" si="13"/>
        <v>1651</v>
      </c>
      <c r="L23" s="4">
        <f t="shared" si="13"/>
        <v>1777</v>
      </c>
      <c r="M23" s="4">
        <f t="shared" si="13"/>
        <v>1965</v>
      </c>
      <c r="N23" s="4">
        <f t="shared" si="13"/>
        <v>2226</v>
      </c>
      <c r="O23" s="4">
        <f t="shared" si="13"/>
        <v>2671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65" t="s">
        <v>199</v>
      </c>
      <c r="C24" s="8"/>
      <c r="D24" s="4">
        <f t="shared" ref="D24:P24" si="14">(D11-D12-D15)/D7</f>
        <v>16.29032258064516</v>
      </c>
      <c r="E24" s="4">
        <f t="shared" si="14"/>
        <v>12.551724137931034</v>
      </c>
      <c r="F24" s="4">
        <f t="shared" si="14"/>
        <v>11.483870967741936</v>
      </c>
      <c r="G24" s="4">
        <f t="shared" si="14"/>
        <v>12.133333333333333</v>
      </c>
      <c r="H24" s="4">
        <f t="shared" si="14"/>
        <v>10.129032258064516</v>
      </c>
      <c r="I24" s="4">
        <f t="shared" si="14"/>
        <v>9.1666666666666661</v>
      </c>
      <c r="J24" s="4">
        <f t="shared" si="14"/>
        <v>6.741935483870968</v>
      </c>
      <c r="K24" s="4">
        <f t="shared" si="14"/>
        <v>7.225806451612903</v>
      </c>
      <c r="L24" s="4">
        <f t="shared" si="14"/>
        <v>9.5333333333333332</v>
      </c>
      <c r="M24" s="4">
        <f t="shared" si="14"/>
        <v>10.258064516129032</v>
      </c>
      <c r="N24" s="4">
        <f t="shared" si="14"/>
        <v>10.833333333333334</v>
      </c>
      <c r="O24" s="4">
        <f t="shared" si="14"/>
        <v>13.838709677419354</v>
      </c>
      <c r="P24" s="4">
        <f t="shared" si="14"/>
        <v>10.844262295081966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65" t="s">
        <v>49</v>
      </c>
      <c r="C25" s="8" t="s">
        <v>30</v>
      </c>
      <c r="D25" s="10">
        <f>D21+'2007'!$P$11-'2007'!D21</f>
        <v>8221</v>
      </c>
      <c r="E25" s="10">
        <f>E21+'2007'!$P$11-'2007'!E21</f>
        <v>7715</v>
      </c>
      <c r="F25" s="10">
        <f>F21+'2007'!$P$11-'2007'!F21</f>
        <v>7697</v>
      </c>
      <c r="G25" s="10">
        <f>G21+'2007'!$P$11-'2007'!G21</f>
        <v>7599</v>
      </c>
      <c r="H25" s="10">
        <f>H21+'2007'!$P$11-'2007'!H21</f>
        <v>7588</v>
      </c>
      <c r="I25" s="10">
        <f>I21+'2007'!$P$11-'2007'!I21</f>
        <v>7602</v>
      </c>
      <c r="J25" s="10">
        <f>J21+'2007'!$P$11-'2007'!J21</f>
        <v>7561</v>
      </c>
      <c r="K25" s="10">
        <f>K21+'2007'!$P$11-'2007'!K21</f>
        <v>7625</v>
      </c>
      <c r="L25" s="10">
        <f>L21+'2007'!$P$11-'2007'!L21</f>
        <v>7702</v>
      </c>
      <c r="M25" s="10">
        <f>M21+'2007'!$P$11-'2007'!M21</f>
        <v>7654</v>
      </c>
      <c r="N25" s="10">
        <f>N21+'2007'!$P$11-'2007'!N21</f>
        <v>7411</v>
      </c>
      <c r="O25" s="10">
        <f>O21+'2007'!$P$11-'2007'!O21</f>
        <v>7433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65" t="s">
        <v>51</v>
      </c>
      <c r="B26" s="2"/>
      <c r="C26" s="2"/>
      <c r="D26" s="7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73">
        <f t="shared" ref="D27:P27" si="15">D16/D11</f>
        <v>0.56294779938587514</v>
      </c>
      <c r="E27" s="73">
        <f t="shared" si="15"/>
        <v>0.48979591836734693</v>
      </c>
      <c r="F27" s="73">
        <f t="shared" si="15"/>
        <v>0.49744897959183676</v>
      </c>
      <c r="G27" s="73">
        <f t="shared" si="15"/>
        <v>0.36128048780487804</v>
      </c>
      <c r="H27" s="73">
        <f t="shared" si="15"/>
        <v>0.19926873857404023</v>
      </c>
      <c r="I27" s="73">
        <f t="shared" si="15"/>
        <v>1.2755102040816327E-2</v>
      </c>
      <c r="J27" s="73">
        <f t="shared" si="15"/>
        <v>7.4074074074074077E-3</v>
      </c>
      <c r="K27" s="73">
        <f t="shared" si="15"/>
        <v>-7.0652173913043473E-2</v>
      </c>
      <c r="L27" s="73">
        <f t="shared" si="15"/>
        <v>0.23595505617977527</v>
      </c>
      <c r="M27" s="73">
        <f t="shared" si="15"/>
        <v>0.30819672131147541</v>
      </c>
      <c r="N27" s="73">
        <f t="shared" si="15"/>
        <v>0.40527950310559008</v>
      </c>
      <c r="O27" s="73">
        <f t="shared" si="15"/>
        <v>0.51326412918108422</v>
      </c>
      <c r="P27" s="73">
        <f t="shared" si="15"/>
        <v>0.3593434683169649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65" t="s">
        <v>53</v>
      </c>
      <c r="C28" s="2" t="s">
        <v>280</v>
      </c>
      <c r="D28" s="4">
        <f t="shared" ref="D28:I28" si="16">D16/D13</f>
        <v>0.9821428571428571</v>
      </c>
      <c r="E28" s="4">
        <f t="shared" si="16"/>
        <v>0.76039603960396041</v>
      </c>
      <c r="F28" s="4">
        <f t="shared" si="16"/>
        <v>0.69148936170212771</v>
      </c>
      <c r="G28" s="4">
        <f t="shared" si="16"/>
        <v>0.73831775700934577</v>
      </c>
      <c r="H28" s="4">
        <f t="shared" si="16"/>
        <v>0.68553459119496851</v>
      </c>
      <c r="I28" s="4">
        <f t="shared" si="16"/>
        <v>0.625</v>
      </c>
      <c r="J28" s="4"/>
      <c r="K28" s="4">
        <f t="shared" ref="K28:P28" si="17">K16/K13</f>
        <v>-0.78787878787878785</v>
      </c>
      <c r="L28" s="4">
        <f t="shared" si="17"/>
        <v>0.56000000000000005</v>
      </c>
      <c r="M28" s="4">
        <f t="shared" si="17"/>
        <v>0.61842105263157898</v>
      </c>
      <c r="N28" s="4">
        <f t="shared" si="17"/>
        <v>0.56129032258064515</v>
      </c>
      <c r="O28" s="4">
        <f t="shared" si="17"/>
        <v>0.82867783985102417</v>
      </c>
      <c r="P28" s="4">
        <f t="shared" si="17"/>
        <v>0.72561803857647378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53</v>
      </c>
      <c r="C29" s="8" t="s">
        <v>7</v>
      </c>
      <c r="D29" s="4">
        <f t="shared" ref="D29:P29" si="18">D16/D7</f>
        <v>17.741935483870968</v>
      </c>
      <c r="E29" s="4">
        <f t="shared" si="18"/>
        <v>13.241379310344827</v>
      </c>
      <c r="F29" s="4">
        <f t="shared" si="18"/>
        <v>12.580645161290322</v>
      </c>
      <c r="G29" s="4">
        <f t="shared" si="18"/>
        <v>7.9</v>
      </c>
      <c r="H29" s="4">
        <f t="shared" si="18"/>
        <v>3.5161290322580645</v>
      </c>
      <c r="I29" s="4">
        <f t="shared" si="18"/>
        <v>0.16666666666666666</v>
      </c>
      <c r="J29" s="4">
        <f t="shared" si="18"/>
        <v>6.4516129032258063E-2</v>
      </c>
      <c r="K29" s="4">
        <f t="shared" si="18"/>
        <v>-0.83870967741935487</v>
      </c>
      <c r="L29" s="4">
        <f t="shared" si="18"/>
        <v>4.2</v>
      </c>
      <c r="M29" s="4">
        <f t="shared" si="18"/>
        <v>6.064516129032258</v>
      </c>
      <c r="N29" s="4">
        <f t="shared" si="18"/>
        <v>8.6999999999999993</v>
      </c>
      <c r="O29" s="4">
        <f t="shared" si="18"/>
        <v>14.35483870967742</v>
      </c>
      <c r="P29" s="4">
        <f t="shared" si="18"/>
        <v>7.2978142076502737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55</v>
      </c>
      <c r="C30" s="8" t="s">
        <v>7</v>
      </c>
      <c r="D30" s="4">
        <f t="shared" ref="D30:P30" si="19">D17/D7</f>
        <v>23.539746543778801</v>
      </c>
      <c r="E30" s="4">
        <f t="shared" si="19"/>
        <v>18.170843291225676</v>
      </c>
      <c r="F30" s="4">
        <f t="shared" si="19"/>
        <v>13.852093342484556</v>
      </c>
      <c r="G30" s="4">
        <f t="shared" si="19"/>
        <v>10.385669781931464</v>
      </c>
      <c r="H30" s="4">
        <f t="shared" si="19"/>
        <v>3.8478393183201458</v>
      </c>
      <c r="I30" s="4">
        <f t="shared" si="19"/>
        <v>0.16666666666666666</v>
      </c>
      <c r="J30" s="4">
        <f t="shared" si="19"/>
        <v>6.4516129032258063E-2</v>
      </c>
      <c r="K30" s="4">
        <f t="shared" si="19"/>
        <v>-0.83870967741935487</v>
      </c>
      <c r="L30" s="4">
        <f t="shared" si="19"/>
        <v>4.0506666666666664</v>
      </c>
      <c r="M30" s="4">
        <f t="shared" si="19"/>
        <v>7.9397283531409162</v>
      </c>
      <c r="N30" s="4">
        <f t="shared" si="19"/>
        <v>10.065806451612904</v>
      </c>
      <c r="O30" s="4">
        <f t="shared" si="19"/>
        <v>18.204180933501533</v>
      </c>
      <c r="P30" s="4">
        <f t="shared" si="19"/>
        <v>9.1035791958466667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56</v>
      </c>
      <c r="C31" s="2" t="s">
        <v>281</v>
      </c>
      <c r="D31" s="4">
        <f t="shared" ref="D31:P31" si="20">D16/$F$4</f>
        <v>2.2734788359788358</v>
      </c>
      <c r="E31" s="4">
        <f t="shared" si="20"/>
        <v>1.5873015873015872</v>
      </c>
      <c r="F31" s="4">
        <f t="shared" si="20"/>
        <v>1.6121031746031744</v>
      </c>
      <c r="G31" s="4">
        <f t="shared" si="20"/>
        <v>0.97966269841269837</v>
      </c>
      <c r="H31" s="4">
        <f t="shared" si="20"/>
        <v>0.4505621693121693</v>
      </c>
      <c r="I31" s="4">
        <f t="shared" si="20"/>
        <v>2.0667989417989415E-2</v>
      </c>
      <c r="J31" s="4">
        <f t="shared" si="20"/>
        <v>8.2671957671957667E-3</v>
      </c>
      <c r="K31" s="4">
        <f t="shared" si="20"/>
        <v>-0.10747354497354497</v>
      </c>
      <c r="L31" s="4">
        <f t="shared" si="20"/>
        <v>0.52083333333333326</v>
      </c>
      <c r="M31" s="4">
        <f t="shared" si="20"/>
        <v>0.77711640211640209</v>
      </c>
      <c r="N31" s="4">
        <f t="shared" si="20"/>
        <v>1.0788690476190474</v>
      </c>
      <c r="O31" s="4">
        <f t="shared" si="20"/>
        <v>1.8394510582010581</v>
      </c>
      <c r="P31" s="4">
        <f t="shared" si="20"/>
        <v>11.040839947089946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56</v>
      </c>
      <c r="C32" s="2" t="s">
        <v>282</v>
      </c>
      <c r="D32" s="4">
        <f t="shared" ref="D32:P32" si="21">D16/$F$3</f>
        <v>5.729166666666667</v>
      </c>
      <c r="E32" s="4">
        <f t="shared" si="21"/>
        <v>4</v>
      </c>
      <c r="F32" s="4">
        <f t="shared" si="21"/>
        <v>4.0625</v>
      </c>
      <c r="G32" s="4">
        <f t="shared" si="21"/>
        <v>2.46875</v>
      </c>
      <c r="H32" s="4">
        <f t="shared" si="21"/>
        <v>1.1354166666666667</v>
      </c>
      <c r="I32" s="4">
        <f t="shared" si="21"/>
        <v>5.2083333333333336E-2</v>
      </c>
      <c r="J32" s="4">
        <f t="shared" si="21"/>
        <v>2.0833333333333332E-2</v>
      </c>
      <c r="K32" s="4">
        <f t="shared" si="21"/>
        <v>-0.27083333333333331</v>
      </c>
      <c r="L32" s="4">
        <f t="shared" si="21"/>
        <v>1.3125</v>
      </c>
      <c r="M32" s="4">
        <f t="shared" si="21"/>
        <v>1.9583333333333333</v>
      </c>
      <c r="N32" s="4">
        <f t="shared" si="21"/>
        <v>2.71875</v>
      </c>
      <c r="O32" s="4">
        <f t="shared" si="21"/>
        <v>4.635416666666667</v>
      </c>
      <c r="P32" s="4">
        <f t="shared" si="21"/>
        <v>27.822916666666668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59</v>
      </c>
      <c r="C33" s="2" t="s">
        <v>283</v>
      </c>
      <c r="D33" s="4">
        <f t="shared" ref="D33:P33" si="22">D17/$F$4</f>
        <v>3.0164192413076338</v>
      </c>
      <c r="E33" s="4">
        <f t="shared" si="22"/>
        <v>2.1782178217821779</v>
      </c>
      <c r="F33" s="4">
        <f t="shared" si="22"/>
        <v>1.7750284954407292</v>
      </c>
      <c r="G33" s="4">
        <f t="shared" si="22"/>
        <v>1.2879054789101518</v>
      </c>
      <c r="H33" s="4">
        <f t="shared" si="22"/>
        <v>0.49306803434161922</v>
      </c>
      <c r="I33" s="4">
        <f t="shared" si="22"/>
        <v>2.0667989417989415E-2</v>
      </c>
      <c r="J33" s="4">
        <f t="shared" si="22"/>
        <v>8.2671957671957667E-3</v>
      </c>
      <c r="K33" s="4">
        <f t="shared" si="22"/>
        <v>-0.10747354497354497</v>
      </c>
      <c r="L33" s="4">
        <f t="shared" si="22"/>
        <v>0.50231481481481477</v>
      </c>
      <c r="M33" s="4">
        <f t="shared" si="22"/>
        <v>1.0174089738234473</v>
      </c>
      <c r="N33" s="4">
        <f t="shared" si="22"/>
        <v>1.2482398873527907</v>
      </c>
      <c r="O33" s="4">
        <f t="shared" si="22"/>
        <v>2.3327116771600012</v>
      </c>
      <c r="P33" s="4">
        <f t="shared" si="22"/>
        <v>13.772776065145006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65" t="s">
        <v>59</v>
      </c>
      <c r="C34" s="2" t="s">
        <v>284</v>
      </c>
      <c r="D34" s="4">
        <f t="shared" ref="D34:P34" si="23">D17/$F$3</f>
        <v>7.6013764880952372</v>
      </c>
      <c r="E34" s="4">
        <f t="shared" si="23"/>
        <v>5.4891089108910895</v>
      </c>
      <c r="F34" s="4">
        <f t="shared" si="23"/>
        <v>4.473071808510638</v>
      </c>
      <c r="G34" s="4">
        <f t="shared" si="23"/>
        <v>3.2455218068535827</v>
      </c>
      <c r="H34" s="4">
        <f t="shared" si="23"/>
        <v>1.2425314465408805</v>
      </c>
      <c r="I34" s="4">
        <f t="shared" si="23"/>
        <v>5.2083333333333336E-2</v>
      </c>
      <c r="J34" s="4">
        <f t="shared" si="23"/>
        <v>2.0833333333333332E-2</v>
      </c>
      <c r="K34" s="4">
        <f t="shared" si="23"/>
        <v>-0.27083333333333331</v>
      </c>
      <c r="L34" s="4">
        <f t="shared" si="23"/>
        <v>1.2658333333333334</v>
      </c>
      <c r="M34" s="4">
        <f t="shared" si="23"/>
        <v>2.5638706140350878</v>
      </c>
      <c r="N34" s="4">
        <f t="shared" si="23"/>
        <v>3.1455645161290327</v>
      </c>
      <c r="O34" s="4">
        <f t="shared" si="23"/>
        <v>5.8784334264432028</v>
      </c>
      <c r="P34" s="4">
        <f t="shared" si="23"/>
        <v>34.707395684165419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65" t="s">
        <v>56</v>
      </c>
      <c r="C35" s="2" t="s">
        <v>285</v>
      </c>
      <c r="D35" s="4">
        <f t="shared" ref="D35:P35" si="24">1000*D31/D13</f>
        <v>4.0597836356764923</v>
      </c>
      <c r="E35" s="4">
        <f t="shared" si="24"/>
        <v>3.1431714600031428</v>
      </c>
      <c r="F35" s="4">
        <f t="shared" si="24"/>
        <v>2.858338962062366</v>
      </c>
      <c r="G35" s="4">
        <f t="shared" si="24"/>
        <v>3.051908717796568</v>
      </c>
      <c r="H35" s="4">
        <f t="shared" si="24"/>
        <v>2.8337243352966626</v>
      </c>
      <c r="I35" s="4">
        <f t="shared" si="24"/>
        <v>2.5834986772486768</v>
      </c>
      <c r="J35" s="4" t="e">
        <f t="shared" si="24"/>
        <v>#DIV/0!</v>
      </c>
      <c r="K35" s="4">
        <f t="shared" si="24"/>
        <v>-3.2567740901074234</v>
      </c>
      <c r="L35" s="4">
        <f t="shared" si="24"/>
        <v>2.3148148148148144</v>
      </c>
      <c r="M35" s="4">
        <f t="shared" si="24"/>
        <v>2.5563039543302701</v>
      </c>
      <c r="N35" s="4">
        <f t="shared" si="24"/>
        <v>2.3201484895033277</v>
      </c>
      <c r="O35" s="4">
        <f t="shared" si="24"/>
        <v>3.4254209649926595</v>
      </c>
      <c r="P35" s="4">
        <f t="shared" si="24"/>
        <v>2.9994131885601591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64</v>
      </c>
      <c r="C39" s="2"/>
      <c r="D39" s="10">
        <v>3600</v>
      </c>
      <c r="E39" s="8" t="s">
        <v>30</v>
      </c>
      <c r="F39" s="4"/>
      <c r="G39" s="8" t="s">
        <v>65</v>
      </c>
      <c r="H39" s="4"/>
      <c r="I39" s="4"/>
      <c r="J39" s="4"/>
      <c r="K39" s="4">
        <f>'2007'!D26*Astepäiväseuranta!U21</f>
        <v>6760.0613207547167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65" t="s">
        <v>67</v>
      </c>
      <c r="C40" s="2"/>
      <c r="D40" s="10">
        <f>3.4*365</f>
        <v>1241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3160.0613207547167</v>
      </c>
      <c r="L40" s="8" t="s">
        <v>30</v>
      </c>
      <c r="M40" s="4"/>
      <c r="N40" s="10">
        <f>SUM(D40:D41,K39)</f>
        <v>11651.061320754718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73">
        <f>K40/K39</f>
        <v>0.46746045203062098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65" t="s">
        <v>25</v>
      </c>
      <c r="C42" s="2"/>
      <c r="D42" s="10">
        <f>SUM(D39:D41)</f>
        <v>8491</v>
      </c>
      <c r="E42" s="8" t="s">
        <v>30</v>
      </c>
      <c r="F42" s="4"/>
      <c r="G42" s="8" t="s">
        <v>71</v>
      </c>
      <c r="H42" s="4"/>
      <c r="I42" s="4"/>
      <c r="J42" s="4"/>
      <c r="K42" s="73">
        <f>K40/(SUM(D40:D41)+K39)</f>
        <v>0.27122519002844098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2" width="8.44140625" customWidth="1"/>
    <col min="23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2007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286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9.8826086956521753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287</v>
      </c>
      <c r="H4" s="8"/>
      <c r="I4" s="4"/>
      <c r="J4" s="4"/>
      <c r="K4" s="4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82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288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691</v>
      </c>
      <c r="E9" s="31">
        <v>777</v>
      </c>
      <c r="F9" s="31">
        <v>420</v>
      </c>
      <c r="G9" s="31">
        <v>407</v>
      </c>
      <c r="H9" s="31">
        <v>286</v>
      </c>
      <c r="I9" s="31">
        <v>201</v>
      </c>
      <c r="J9" s="31">
        <v>158</v>
      </c>
      <c r="K9" s="31">
        <v>163</v>
      </c>
      <c r="L9" s="31">
        <v>242</v>
      </c>
      <c r="M9" s="31">
        <v>365</v>
      </c>
      <c r="N9" s="31">
        <v>510</v>
      </c>
      <c r="O9" s="31">
        <v>508</v>
      </c>
      <c r="P9" s="31">
        <f t="shared" ref="P9:P17" si="0">SUM(D9:O9)</f>
        <v>4728</v>
      </c>
      <c r="Q9" s="2"/>
      <c r="R9" s="34">
        <f t="shared" ref="R9:R12" si="1">P9/$P$11</f>
        <v>0.54269972451790638</v>
      </c>
      <c r="S9" s="34"/>
      <c r="T9" s="36">
        <f t="shared" ref="T9:T12" si="2">O9/$O$11</f>
        <v>0.60118343195266277</v>
      </c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777</v>
      </c>
      <c r="E10" s="31">
        <v>513</v>
      </c>
      <c r="F10" s="31">
        <v>382</v>
      </c>
      <c r="G10" s="31">
        <v>347</v>
      </c>
      <c r="H10" s="31">
        <v>272</v>
      </c>
      <c r="I10" s="31">
        <v>177</v>
      </c>
      <c r="J10" s="31">
        <v>153</v>
      </c>
      <c r="K10" s="31">
        <v>141</v>
      </c>
      <c r="L10" s="31">
        <v>215</v>
      </c>
      <c r="M10" s="31">
        <v>293</v>
      </c>
      <c r="N10" s="31">
        <v>377</v>
      </c>
      <c r="O10" s="31">
        <v>337</v>
      </c>
      <c r="P10" s="31">
        <f t="shared" si="0"/>
        <v>3984</v>
      </c>
      <c r="Q10" s="39"/>
      <c r="R10" s="34">
        <f t="shared" si="1"/>
        <v>0.45730027548209368</v>
      </c>
      <c r="S10" s="34"/>
      <c r="T10" s="36">
        <f t="shared" si="2"/>
        <v>0.39881656804733728</v>
      </c>
      <c r="U10" s="11">
        <f>SUM(D11:H11)</f>
        <v>4872</v>
      </c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3">SUM(D9:D10)</f>
        <v>1468</v>
      </c>
      <c r="E11" s="31">
        <f t="shared" si="3"/>
        <v>1290</v>
      </c>
      <c r="F11" s="31">
        <f t="shared" si="3"/>
        <v>802</v>
      </c>
      <c r="G11" s="31">
        <f t="shared" si="3"/>
        <v>754</v>
      </c>
      <c r="H11" s="31">
        <f t="shared" si="3"/>
        <v>558</v>
      </c>
      <c r="I11" s="31">
        <f t="shared" si="3"/>
        <v>378</v>
      </c>
      <c r="J11" s="31">
        <f t="shared" si="3"/>
        <v>311</v>
      </c>
      <c r="K11" s="31">
        <f t="shared" si="3"/>
        <v>304</v>
      </c>
      <c r="L11" s="31">
        <f t="shared" si="3"/>
        <v>457</v>
      </c>
      <c r="M11" s="31">
        <f t="shared" si="3"/>
        <v>658</v>
      </c>
      <c r="N11" s="31">
        <f t="shared" si="3"/>
        <v>887</v>
      </c>
      <c r="O11" s="31">
        <f t="shared" si="3"/>
        <v>845</v>
      </c>
      <c r="P11" s="40">
        <f t="shared" si="0"/>
        <v>8712</v>
      </c>
      <c r="Q11" s="39"/>
      <c r="R11" s="34">
        <f t="shared" si="1"/>
        <v>1</v>
      </c>
      <c r="S11" s="34"/>
      <c r="T11" s="36">
        <f t="shared" si="2"/>
        <v>1</v>
      </c>
      <c r="U11" s="11"/>
      <c r="V11" s="11">
        <f>SUM('2008'!D12:F12)+SUM('2007'!D12:O12)</f>
        <v>3039.6</v>
      </c>
      <c r="W11" s="2"/>
      <c r="X11" s="2"/>
      <c r="Y11" s="2"/>
      <c r="Z11" s="2"/>
    </row>
    <row r="12" spans="1:26" ht="12.75" customHeight="1" x14ac:dyDescent="0.25">
      <c r="A12" s="24">
        <v>2007</v>
      </c>
      <c r="B12" s="25" t="s">
        <v>33</v>
      </c>
      <c r="C12" s="30" t="s">
        <v>30</v>
      </c>
      <c r="D12" s="31">
        <v>37</v>
      </c>
      <c r="E12" s="31">
        <v>476</v>
      </c>
      <c r="F12" s="31">
        <v>241</v>
      </c>
      <c r="G12" s="31">
        <v>176</v>
      </c>
      <c r="H12" s="31">
        <v>94</v>
      </c>
      <c r="I12" s="31">
        <v>35</v>
      </c>
      <c r="J12" s="31">
        <v>22</v>
      </c>
      <c r="K12" s="31">
        <v>26.8</v>
      </c>
      <c r="L12" s="31">
        <v>111.8</v>
      </c>
      <c r="M12" s="31">
        <v>179</v>
      </c>
      <c r="N12" s="31">
        <v>329</v>
      </c>
      <c r="O12" s="31">
        <v>303</v>
      </c>
      <c r="P12" s="31">
        <f t="shared" si="0"/>
        <v>2030.6</v>
      </c>
      <c r="Q12" s="39"/>
      <c r="R12" s="34">
        <f t="shared" si="1"/>
        <v>0.23308080808080808</v>
      </c>
      <c r="S12" s="34"/>
      <c r="T12" s="36">
        <f t="shared" si="2"/>
        <v>0.35857988165680471</v>
      </c>
      <c r="U12" s="2"/>
      <c r="V12" s="2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36</v>
      </c>
      <c r="C13" s="26" t="s">
        <v>289</v>
      </c>
      <c r="D13" s="31">
        <v>636</v>
      </c>
      <c r="E13" s="31">
        <v>781</v>
      </c>
      <c r="F13" s="31">
        <v>457</v>
      </c>
      <c r="G13" s="31">
        <v>338</v>
      </c>
      <c r="H13" s="31">
        <v>102</v>
      </c>
      <c r="I13" s="31">
        <v>0</v>
      </c>
      <c r="J13" s="31">
        <v>0</v>
      </c>
      <c r="K13" s="31">
        <v>47</v>
      </c>
      <c r="L13" s="31">
        <v>166</v>
      </c>
      <c r="M13" s="31">
        <v>347</v>
      </c>
      <c r="N13" s="31">
        <v>529</v>
      </c>
      <c r="O13" s="31">
        <v>496</v>
      </c>
      <c r="P13" s="31">
        <f t="shared" si="0"/>
        <v>3899</v>
      </c>
      <c r="Q13" s="43"/>
      <c r="R13" s="11"/>
      <c r="S13" s="34"/>
      <c r="T13" s="34"/>
      <c r="U13" s="11">
        <f>SUM(D13:H13)</f>
        <v>2314</v>
      </c>
      <c r="V13" s="34"/>
      <c r="W13" s="2"/>
      <c r="X13" s="2"/>
      <c r="Y13" s="2"/>
      <c r="Z13" s="2"/>
    </row>
    <row r="14" spans="1:26" ht="12.75" customHeight="1" x14ac:dyDescent="0.25">
      <c r="A14" s="24">
        <v>2007</v>
      </c>
      <c r="B14" s="41" t="s">
        <v>39</v>
      </c>
      <c r="C14" s="26" t="s">
        <v>290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6">
        <f>(P14-P13)/P14</f>
        <v>0.14401756311745334</v>
      </c>
      <c r="S14" s="2"/>
      <c r="T14" s="43"/>
      <c r="U14" s="43"/>
      <c r="V14" s="43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41</v>
      </c>
      <c r="C15" s="30" t="s">
        <v>30</v>
      </c>
      <c r="D15" s="31">
        <v>105</v>
      </c>
      <c r="E15" s="31">
        <v>97</v>
      </c>
      <c r="F15" s="31">
        <v>80</v>
      </c>
      <c r="G15" s="31">
        <v>125</v>
      </c>
      <c r="H15" s="31">
        <v>120</v>
      </c>
      <c r="I15" s="31">
        <v>82</v>
      </c>
      <c r="J15" s="31">
        <v>70</v>
      </c>
      <c r="K15" s="31">
        <v>78</v>
      </c>
      <c r="L15" s="31">
        <v>89.86</v>
      </c>
      <c r="M15" s="31">
        <v>117</v>
      </c>
      <c r="N15" s="31">
        <v>111</v>
      </c>
      <c r="O15" s="31">
        <v>101</v>
      </c>
      <c r="P15" s="31">
        <f t="shared" si="0"/>
        <v>1175.8600000000001</v>
      </c>
      <c r="Q15" s="2"/>
      <c r="R15" s="2"/>
      <c r="S15" s="2"/>
      <c r="T15" s="2"/>
      <c r="U15" s="11">
        <f>SUM(D16:H16)</f>
        <v>2835</v>
      </c>
      <c r="V15" s="2"/>
      <c r="W15" s="2"/>
      <c r="X15" s="2"/>
      <c r="Y15" s="2"/>
      <c r="Z15" s="2"/>
    </row>
    <row r="16" spans="1:26" ht="12.75" customHeight="1" x14ac:dyDescent="0.25">
      <c r="A16" s="24">
        <v>2007</v>
      </c>
      <c r="B16" s="25" t="s">
        <v>42</v>
      </c>
      <c r="C16" s="30" t="s">
        <v>30</v>
      </c>
      <c r="D16" s="31">
        <f t="shared" ref="D16:H16" si="4">D11-D15-D7*($K$3)</f>
        <v>1053</v>
      </c>
      <c r="E16" s="31">
        <f t="shared" si="4"/>
        <v>913</v>
      </c>
      <c r="F16" s="31">
        <f t="shared" si="4"/>
        <v>412</v>
      </c>
      <c r="G16" s="31">
        <f t="shared" si="4"/>
        <v>329</v>
      </c>
      <c r="H16" s="31">
        <f t="shared" si="4"/>
        <v>128</v>
      </c>
      <c r="I16" s="31">
        <v>35</v>
      </c>
      <c r="J16" s="31">
        <f t="shared" ref="J16:K16" si="5">J12</f>
        <v>22</v>
      </c>
      <c r="K16" s="31">
        <f t="shared" si="5"/>
        <v>26.8</v>
      </c>
      <c r="L16" s="31">
        <v>112</v>
      </c>
      <c r="M16" s="31">
        <f t="shared" ref="M16:O16" si="6">M11-M15-M7*($K$3)</f>
        <v>231</v>
      </c>
      <c r="N16" s="31">
        <f t="shared" si="6"/>
        <v>476</v>
      </c>
      <c r="O16" s="31">
        <f t="shared" si="6"/>
        <v>434</v>
      </c>
      <c r="P16" s="31">
        <f t="shared" si="0"/>
        <v>4171.8</v>
      </c>
      <c r="Q16" s="2"/>
      <c r="R16" s="2"/>
      <c r="S16" s="2"/>
      <c r="T16" s="11"/>
      <c r="U16" s="2"/>
      <c r="V16" s="2"/>
      <c r="W16" s="2"/>
      <c r="X16" s="2"/>
      <c r="Y16" s="2"/>
      <c r="Z16" s="2"/>
    </row>
    <row r="17" spans="1:26" ht="12.75" customHeight="1" x14ac:dyDescent="0.25">
      <c r="A17" s="24">
        <v>2007</v>
      </c>
      <c r="B17" s="25" t="s">
        <v>43</v>
      </c>
      <c r="C17" s="30" t="s">
        <v>30</v>
      </c>
      <c r="D17" s="31">
        <f t="shared" ref="D17:H17" si="7">IF(D16&lt;0,0,((D14/D13))*D16)</f>
        <v>1230.1556603773586</v>
      </c>
      <c r="E17" s="31">
        <f t="shared" si="7"/>
        <v>810.12676056338034</v>
      </c>
      <c r="F17" s="31">
        <f t="shared" si="7"/>
        <v>559.85120350109401</v>
      </c>
      <c r="G17" s="31">
        <f t="shared" si="7"/>
        <v>410.76331360946745</v>
      </c>
      <c r="H17" s="31">
        <f t="shared" si="7"/>
        <v>218.35294117647058</v>
      </c>
      <c r="I17" s="46">
        <f t="shared" ref="I17:K17" si="8">I16</f>
        <v>35</v>
      </c>
      <c r="J17" s="46">
        <f t="shared" si="8"/>
        <v>22</v>
      </c>
      <c r="K17" s="46">
        <f t="shared" si="8"/>
        <v>26.8</v>
      </c>
      <c r="L17" s="31">
        <f t="shared" ref="L17:O17" si="9">IF(L16&lt;0,0,((L14/L13))*L16)</f>
        <v>146.40963855421688</v>
      </c>
      <c r="M17" s="31">
        <f t="shared" si="9"/>
        <v>264.95100864553314</v>
      </c>
      <c r="N17" s="31">
        <f t="shared" si="9"/>
        <v>484.09829867674853</v>
      </c>
      <c r="O17" s="31">
        <f t="shared" si="9"/>
        <v>595.875</v>
      </c>
      <c r="P17" s="40">
        <f t="shared" si="0"/>
        <v>4804.3838251042698</v>
      </c>
      <c r="Q17" s="39"/>
      <c r="R17" s="34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1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0">D11/D7</f>
        <v>47.354838709677416</v>
      </c>
      <c r="E20" s="4">
        <f t="shared" si="10"/>
        <v>46.071428571428569</v>
      </c>
      <c r="F20" s="4">
        <f t="shared" si="10"/>
        <v>25.870967741935484</v>
      </c>
      <c r="G20" s="4">
        <f t="shared" si="10"/>
        <v>25.133333333333333</v>
      </c>
      <c r="H20" s="4">
        <f t="shared" si="10"/>
        <v>18</v>
      </c>
      <c r="I20" s="4">
        <f t="shared" si="10"/>
        <v>12.6</v>
      </c>
      <c r="J20" s="4">
        <f t="shared" si="10"/>
        <v>10.03225806451613</v>
      </c>
      <c r="K20" s="4">
        <f t="shared" si="10"/>
        <v>9.806451612903226</v>
      </c>
      <c r="L20" s="4">
        <f t="shared" si="10"/>
        <v>15.233333333333333</v>
      </c>
      <c r="M20" s="4">
        <f t="shared" si="10"/>
        <v>21.225806451612904</v>
      </c>
      <c r="N20" s="4">
        <f t="shared" si="10"/>
        <v>29.566666666666666</v>
      </c>
      <c r="O20" s="4">
        <f t="shared" si="10"/>
        <v>27.258064516129032</v>
      </c>
      <c r="P20" s="4">
        <f>P10/365</f>
        <v>10.915068493150685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65" t="s">
        <v>45</v>
      </c>
      <c r="C21" s="8" t="s">
        <v>30</v>
      </c>
      <c r="D21" s="4">
        <f t="shared" ref="D21:D22" si="11">SUM(D11)</f>
        <v>1468</v>
      </c>
      <c r="E21" s="4">
        <f t="shared" ref="E21:O21" si="12">SUM($D$11:E11)</f>
        <v>2758</v>
      </c>
      <c r="F21" s="4">
        <f t="shared" si="12"/>
        <v>3560</v>
      </c>
      <c r="G21" s="4">
        <f t="shared" si="12"/>
        <v>4314</v>
      </c>
      <c r="H21" s="4">
        <f t="shared" si="12"/>
        <v>4872</v>
      </c>
      <c r="I21" s="4">
        <f t="shared" si="12"/>
        <v>5250</v>
      </c>
      <c r="J21" s="4">
        <f t="shared" si="12"/>
        <v>5561</v>
      </c>
      <c r="K21" s="4">
        <f t="shared" si="12"/>
        <v>5865</v>
      </c>
      <c r="L21" s="4">
        <f t="shared" si="12"/>
        <v>6322</v>
      </c>
      <c r="M21" s="4">
        <f t="shared" si="12"/>
        <v>6980</v>
      </c>
      <c r="N21" s="4">
        <f t="shared" si="12"/>
        <v>7867</v>
      </c>
      <c r="O21" s="4">
        <f t="shared" si="12"/>
        <v>8712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65" t="s">
        <v>46</v>
      </c>
      <c r="C22" s="8" t="s">
        <v>30</v>
      </c>
      <c r="D22" s="4">
        <f t="shared" si="11"/>
        <v>37</v>
      </c>
      <c r="E22" s="4">
        <f t="shared" ref="E22:O22" si="13">SUM($D$12:E12)</f>
        <v>513</v>
      </c>
      <c r="F22" s="4">
        <f t="shared" si="13"/>
        <v>754</v>
      </c>
      <c r="G22" s="4">
        <f t="shared" si="13"/>
        <v>930</v>
      </c>
      <c r="H22" s="4">
        <f t="shared" si="13"/>
        <v>1024</v>
      </c>
      <c r="I22" s="4">
        <f t="shared" si="13"/>
        <v>1059</v>
      </c>
      <c r="J22" s="4">
        <f t="shared" si="13"/>
        <v>1081</v>
      </c>
      <c r="K22" s="4">
        <f t="shared" si="13"/>
        <v>1107.8</v>
      </c>
      <c r="L22" s="4">
        <f t="shared" si="13"/>
        <v>1219.5999999999999</v>
      </c>
      <c r="M22" s="4">
        <f t="shared" si="13"/>
        <v>1398.6</v>
      </c>
      <c r="N22" s="4">
        <f t="shared" si="13"/>
        <v>1727.6</v>
      </c>
      <c r="O22" s="4">
        <f t="shared" si="13"/>
        <v>2030.6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65" t="s">
        <v>47</v>
      </c>
      <c r="C23" s="8" t="s">
        <v>30</v>
      </c>
      <c r="D23" s="4">
        <f>SUM(D16)</f>
        <v>1053</v>
      </c>
      <c r="E23" s="4">
        <f t="shared" ref="E23:O23" si="14">SUM($D$16:E16)</f>
        <v>1966</v>
      </c>
      <c r="F23" s="4">
        <f t="shared" si="14"/>
        <v>2378</v>
      </c>
      <c r="G23" s="4">
        <f t="shared" si="14"/>
        <v>2707</v>
      </c>
      <c r="H23" s="4">
        <f t="shared" si="14"/>
        <v>2835</v>
      </c>
      <c r="I23" s="4">
        <f t="shared" si="14"/>
        <v>2870</v>
      </c>
      <c r="J23" s="4">
        <f t="shared" si="14"/>
        <v>2892</v>
      </c>
      <c r="K23" s="4">
        <f t="shared" si="14"/>
        <v>2918.8</v>
      </c>
      <c r="L23" s="4">
        <f t="shared" si="14"/>
        <v>3030.8</v>
      </c>
      <c r="M23" s="4">
        <f t="shared" si="14"/>
        <v>3261.8</v>
      </c>
      <c r="N23" s="4">
        <f t="shared" si="14"/>
        <v>3737.8</v>
      </c>
      <c r="O23" s="4">
        <f t="shared" si="14"/>
        <v>4171.8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7"/>
      <c r="B24" s="2"/>
      <c r="C24" s="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65" t="s">
        <v>51</v>
      </c>
      <c r="B25" s="2"/>
      <c r="C25" s="2"/>
      <c r="D25" s="75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3"/>
      <c r="R25" s="43"/>
      <c r="S25" s="36"/>
      <c r="T25" s="39"/>
      <c r="U25" s="43"/>
      <c r="V25" s="43"/>
      <c r="W25" s="2"/>
      <c r="X25" s="2"/>
      <c r="Y25" s="2"/>
      <c r="Z25" s="2"/>
    </row>
    <row r="26" spans="1:26" ht="12.75" customHeight="1" x14ac:dyDescent="0.3">
      <c r="A26" s="2"/>
      <c r="B26" s="65" t="s">
        <v>53</v>
      </c>
      <c r="C26" s="2" t="s">
        <v>291</v>
      </c>
      <c r="D26" s="4">
        <f t="shared" ref="D26:H26" si="15">D16/D13</f>
        <v>1.6556603773584906</v>
      </c>
      <c r="E26" s="4">
        <f t="shared" si="15"/>
        <v>1.1690140845070423</v>
      </c>
      <c r="F26" s="4">
        <f t="shared" si="15"/>
        <v>0.90153172866520792</v>
      </c>
      <c r="G26" s="4">
        <f t="shared" si="15"/>
        <v>0.97337278106508873</v>
      </c>
      <c r="H26" s="4">
        <f t="shared" si="15"/>
        <v>1.2549019607843137</v>
      </c>
      <c r="I26" s="4"/>
      <c r="J26" s="4"/>
      <c r="K26" s="4">
        <f t="shared" ref="K26:P26" si="16">K16/K13</f>
        <v>0.57021276595744685</v>
      </c>
      <c r="L26" s="4">
        <f t="shared" si="16"/>
        <v>0.67469879518072284</v>
      </c>
      <c r="M26" s="4">
        <f t="shared" si="16"/>
        <v>0.66570605187319887</v>
      </c>
      <c r="N26" s="4">
        <f t="shared" si="16"/>
        <v>0.89981096408317585</v>
      </c>
      <c r="O26" s="4">
        <f t="shared" si="16"/>
        <v>0.875</v>
      </c>
      <c r="P26" s="4">
        <f t="shared" si="16"/>
        <v>1.0699666581174661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3">
      <c r="A27" s="2"/>
      <c r="B27" s="65" t="s">
        <v>53</v>
      </c>
      <c r="C27" s="8" t="s">
        <v>7</v>
      </c>
      <c r="D27" s="4">
        <f t="shared" ref="D27:P27" si="17">D16/D7</f>
        <v>33.967741935483872</v>
      </c>
      <c r="E27" s="4">
        <f t="shared" si="17"/>
        <v>32.607142857142854</v>
      </c>
      <c r="F27" s="4">
        <f t="shared" si="17"/>
        <v>13.290322580645162</v>
      </c>
      <c r="G27" s="4">
        <f t="shared" si="17"/>
        <v>10.966666666666667</v>
      </c>
      <c r="H27" s="4">
        <f t="shared" si="17"/>
        <v>4.129032258064516</v>
      </c>
      <c r="I27" s="4">
        <f t="shared" si="17"/>
        <v>1.1666666666666667</v>
      </c>
      <c r="J27" s="4">
        <f t="shared" si="17"/>
        <v>0.70967741935483875</v>
      </c>
      <c r="K27" s="4">
        <f t="shared" si="17"/>
        <v>0.86451612903225805</v>
      </c>
      <c r="L27" s="4">
        <f t="shared" si="17"/>
        <v>3.7333333333333334</v>
      </c>
      <c r="M27" s="4">
        <f t="shared" si="17"/>
        <v>7.4516129032258061</v>
      </c>
      <c r="N27" s="4">
        <f t="shared" si="17"/>
        <v>15.866666666666667</v>
      </c>
      <c r="O27" s="4">
        <f t="shared" si="17"/>
        <v>14</v>
      </c>
      <c r="P27" s="4">
        <f t="shared" si="17"/>
        <v>11.429589041095891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3">
      <c r="A28" s="2"/>
      <c r="B28" s="65" t="s">
        <v>55</v>
      </c>
      <c r="C28" s="8" t="s">
        <v>7</v>
      </c>
      <c r="D28" s="4">
        <f t="shared" ref="D28:P28" si="18">D17/D7</f>
        <v>39.682440657334148</v>
      </c>
      <c r="E28" s="4">
        <f t="shared" si="18"/>
        <v>28.9330985915493</v>
      </c>
      <c r="F28" s="4">
        <f t="shared" si="18"/>
        <v>18.059716241970776</v>
      </c>
      <c r="G28" s="4">
        <f t="shared" si="18"/>
        <v>13.692110453648915</v>
      </c>
      <c r="H28" s="4">
        <f t="shared" si="18"/>
        <v>7.0436432637571151</v>
      </c>
      <c r="I28" s="4">
        <f t="shared" si="18"/>
        <v>1.1666666666666667</v>
      </c>
      <c r="J28" s="4">
        <f t="shared" si="18"/>
        <v>0.70967741935483875</v>
      </c>
      <c r="K28" s="4">
        <f t="shared" si="18"/>
        <v>0.86451612903225805</v>
      </c>
      <c r="L28" s="4">
        <f t="shared" si="18"/>
        <v>4.8803212851405631</v>
      </c>
      <c r="M28" s="4">
        <f t="shared" si="18"/>
        <v>8.5468067305010695</v>
      </c>
      <c r="N28" s="4">
        <f t="shared" si="18"/>
        <v>16.136609955891618</v>
      </c>
      <c r="O28" s="4">
        <f t="shared" si="18"/>
        <v>19.221774193548388</v>
      </c>
      <c r="P28" s="4">
        <f t="shared" si="18"/>
        <v>13.162695411244576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65" t="s">
        <v>56</v>
      </c>
      <c r="C29" s="2" t="s">
        <v>292</v>
      </c>
      <c r="D29" s="4">
        <f t="shared" ref="D29:P29" si="19">D16/$F$4</f>
        <v>4.3526785714285712</v>
      </c>
      <c r="E29" s="4">
        <f t="shared" si="19"/>
        <v>3.7739748677248675</v>
      </c>
      <c r="F29" s="4">
        <f t="shared" si="19"/>
        <v>1.7030423280423279</v>
      </c>
      <c r="G29" s="4">
        <f t="shared" si="19"/>
        <v>1.3599537037037037</v>
      </c>
      <c r="H29" s="4">
        <f t="shared" si="19"/>
        <v>0.52910052910052907</v>
      </c>
      <c r="I29" s="4">
        <f t="shared" si="19"/>
        <v>0.14467592592592593</v>
      </c>
      <c r="J29" s="4">
        <f t="shared" si="19"/>
        <v>9.0939153439153431E-2</v>
      </c>
      <c r="K29" s="4">
        <f t="shared" si="19"/>
        <v>0.11078042328042327</v>
      </c>
      <c r="L29" s="4">
        <f t="shared" si="19"/>
        <v>0.46296296296296291</v>
      </c>
      <c r="M29" s="4">
        <f t="shared" si="19"/>
        <v>0.95486111111111105</v>
      </c>
      <c r="N29" s="4">
        <f t="shared" si="19"/>
        <v>1.9675925925925926</v>
      </c>
      <c r="O29" s="4">
        <f t="shared" si="19"/>
        <v>1.7939814814814814</v>
      </c>
      <c r="P29" s="4">
        <f t="shared" si="19"/>
        <v>17.244543650793652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65" t="s">
        <v>56</v>
      </c>
      <c r="C30" s="2" t="s">
        <v>293</v>
      </c>
      <c r="D30" s="4">
        <f t="shared" ref="D30:P30" si="20">D16/$F$3</f>
        <v>10.96875</v>
      </c>
      <c r="E30" s="4">
        <f t="shared" si="20"/>
        <v>9.5104166666666661</v>
      </c>
      <c r="F30" s="4">
        <f t="shared" si="20"/>
        <v>4.291666666666667</v>
      </c>
      <c r="G30" s="4">
        <f t="shared" si="20"/>
        <v>3.4270833333333335</v>
      </c>
      <c r="H30" s="4">
        <f t="shared" si="20"/>
        <v>1.3333333333333333</v>
      </c>
      <c r="I30" s="4">
        <f t="shared" si="20"/>
        <v>0.36458333333333331</v>
      </c>
      <c r="J30" s="4">
        <f t="shared" si="20"/>
        <v>0.22916666666666666</v>
      </c>
      <c r="K30" s="4">
        <f t="shared" si="20"/>
        <v>0.27916666666666667</v>
      </c>
      <c r="L30" s="4">
        <f t="shared" si="20"/>
        <v>1.1666666666666667</v>
      </c>
      <c r="M30" s="4">
        <f t="shared" si="20"/>
        <v>2.40625</v>
      </c>
      <c r="N30" s="4">
        <f t="shared" si="20"/>
        <v>4.958333333333333</v>
      </c>
      <c r="O30" s="4">
        <f t="shared" si="20"/>
        <v>4.520833333333333</v>
      </c>
      <c r="P30" s="4">
        <f t="shared" si="20"/>
        <v>43.456250000000004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65" t="s">
        <v>59</v>
      </c>
      <c r="C31" s="2" t="s">
        <v>294</v>
      </c>
      <c r="D31" s="4">
        <f t="shared" ref="D31:P31" si="21">D17/$F$4</f>
        <v>5.0849688342318062</v>
      </c>
      <c r="E31" s="4">
        <f t="shared" si="21"/>
        <v>3.348738262910798</v>
      </c>
      <c r="F31" s="4">
        <f t="shared" si="21"/>
        <v>2.3141997499218498</v>
      </c>
      <c r="G31" s="4">
        <f t="shared" si="21"/>
        <v>1.6979303637957484</v>
      </c>
      <c r="H31" s="4">
        <f t="shared" si="21"/>
        <v>0.90258325552443186</v>
      </c>
      <c r="I31" s="4">
        <f t="shared" si="21"/>
        <v>0.14467592592592593</v>
      </c>
      <c r="J31" s="4">
        <f t="shared" si="21"/>
        <v>9.0939153439153431E-2</v>
      </c>
      <c r="K31" s="4">
        <f t="shared" si="21"/>
        <v>0.11078042328042327</v>
      </c>
      <c r="L31" s="4">
        <f t="shared" si="21"/>
        <v>0.605198572066042</v>
      </c>
      <c r="M31" s="4">
        <f t="shared" si="21"/>
        <v>1.0952009285943003</v>
      </c>
      <c r="N31" s="4">
        <f t="shared" si="21"/>
        <v>2.0010677028635437</v>
      </c>
      <c r="O31" s="4">
        <f t="shared" si="21"/>
        <v>2.4631076388888888</v>
      </c>
      <c r="P31" s="4">
        <f t="shared" si="21"/>
        <v>19.859390811442914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65" t="s">
        <v>59</v>
      </c>
      <c r="C32" s="2" t="s">
        <v>295</v>
      </c>
      <c r="D32" s="4">
        <f t="shared" ref="D32:P32" si="22">D17/$F$3</f>
        <v>12.814121462264152</v>
      </c>
      <c r="E32" s="4">
        <f t="shared" si="22"/>
        <v>8.4388204225352119</v>
      </c>
      <c r="F32" s="4">
        <f t="shared" si="22"/>
        <v>5.8317833698030626</v>
      </c>
      <c r="G32" s="4">
        <f t="shared" si="22"/>
        <v>4.2787845167652856</v>
      </c>
      <c r="H32" s="4">
        <f t="shared" si="22"/>
        <v>2.2745098039215685</v>
      </c>
      <c r="I32" s="4">
        <f t="shared" si="22"/>
        <v>0.36458333333333331</v>
      </c>
      <c r="J32" s="4">
        <f t="shared" si="22"/>
        <v>0.22916666666666666</v>
      </c>
      <c r="K32" s="4">
        <f t="shared" si="22"/>
        <v>0.27916666666666667</v>
      </c>
      <c r="L32" s="4">
        <f t="shared" si="22"/>
        <v>1.5251004016064258</v>
      </c>
      <c r="M32" s="4">
        <f t="shared" si="22"/>
        <v>2.7599063400576367</v>
      </c>
      <c r="N32" s="4">
        <f t="shared" si="22"/>
        <v>5.0426906112161305</v>
      </c>
      <c r="O32" s="4">
        <f t="shared" si="22"/>
        <v>6.20703125</v>
      </c>
      <c r="P32" s="4">
        <f t="shared" si="22"/>
        <v>50.045664844836146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65" t="s">
        <v>56</v>
      </c>
      <c r="C33" s="2" t="s">
        <v>296</v>
      </c>
      <c r="D33" s="4">
        <f t="shared" ref="D33:P33" si="23">1000*D29/D13</f>
        <v>6.8438342318059302</v>
      </c>
      <c r="E33" s="4">
        <f t="shared" si="23"/>
        <v>4.8322341456144269</v>
      </c>
      <c r="F33" s="4">
        <f t="shared" si="23"/>
        <v>3.7265696456068444</v>
      </c>
      <c r="G33" s="4">
        <f t="shared" si="23"/>
        <v>4.0235316677624366</v>
      </c>
      <c r="H33" s="4">
        <f t="shared" si="23"/>
        <v>5.1872600892208736</v>
      </c>
      <c r="I33" s="4" t="e">
        <f t="shared" si="23"/>
        <v>#DIV/0!</v>
      </c>
      <c r="J33" s="4" t="e">
        <f t="shared" si="23"/>
        <v>#DIV/0!</v>
      </c>
      <c r="K33" s="4">
        <f t="shared" si="23"/>
        <v>2.3570302825621972</v>
      </c>
      <c r="L33" s="4">
        <f t="shared" si="23"/>
        <v>2.788933511825078</v>
      </c>
      <c r="M33" s="4">
        <f t="shared" si="23"/>
        <v>2.7517611271213576</v>
      </c>
      <c r="N33" s="4">
        <f t="shared" si="23"/>
        <v>3.719456696772387</v>
      </c>
      <c r="O33" s="4">
        <f t="shared" si="23"/>
        <v>3.6168981481481479</v>
      </c>
      <c r="P33" s="4">
        <f t="shared" si="23"/>
        <v>4.4228119135146589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"/>
      <c r="B34" s="2"/>
      <c r="C34" s="2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"/>
      <c r="B35" s="2"/>
      <c r="C35" s="2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7" t="s">
        <v>63</v>
      </c>
      <c r="B36" s="2"/>
      <c r="C36" s="2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2"/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3">
      <c r="A38" s="2"/>
      <c r="B38" s="65" t="s">
        <v>64</v>
      </c>
      <c r="C38" s="2"/>
      <c r="D38" s="10">
        <f>AVERAGE(E26:H26,K26:O26)*Astepäiväseuranta!U21</f>
        <v>3622.1876896033809</v>
      </c>
      <c r="E38" s="8" t="s">
        <v>30</v>
      </c>
      <c r="F38" s="4"/>
      <c r="G38" s="8" t="s">
        <v>65</v>
      </c>
      <c r="H38" s="4"/>
      <c r="I38" s="4"/>
      <c r="J38" s="4"/>
      <c r="K38" s="4">
        <f>D26*Astepäiväseuranta!U21</f>
        <v>6760.0613207547167</v>
      </c>
      <c r="L38" s="8" t="s">
        <v>30</v>
      </c>
      <c r="M38" s="8" t="s">
        <v>66</v>
      </c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65" t="s">
        <v>67</v>
      </c>
      <c r="C39" s="2"/>
      <c r="D39" s="10">
        <f>SUM(D15:O15)/SUM(D7:O7)*365</f>
        <v>1175.8600000000001</v>
      </c>
      <c r="E39" s="8" t="s">
        <v>30</v>
      </c>
      <c r="F39" s="4"/>
      <c r="G39" s="8" t="s">
        <v>68</v>
      </c>
      <c r="H39" s="4"/>
      <c r="I39" s="4"/>
      <c r="J39" s="4"/>
      <c r="K39" s="4">
        <f>K38-D38</f>
        <v>3137.8736311513358</v>
      </c>
      <c r="L39" s="8" t="s">
        <v>30</v>
      </c>
      <c r="M39" s="4"/>
      <c r="N39" s="10">
        <f>SUM(D39:D40,K38)</f>
        <v>11585.921320754718</v>
      </c>
      <c r="O39" s="8" t="s">
        <v>30</v>
      </c>
      <c r="P39" s="4"/>
      <c r="Q39" s="2"/>
      <c r="R39" s="2"/>
      <c r="S39" s="2"/>
      <c r="T39" s="2"/>
      <c r="U39" s="11"/>
      <c r="V39" s="2"/>
      <c r="W39" s="2"/>
      <c r="X39" s="2"/>
      <c r="Y39" s="2"/>
      <c r="Z39" s="2"/>
    </row>
    <row r="40" spans="1:26" ht="12.75" customHeight="1" x14ac:dyDescent="0.25">
      <c r="A40" s="2"/>
      <c r="B40" s="53" t="s">
        <v>69</v>
      </c>
      <c r="C40" s="53"/>
      <c r="D40" s="54">
        <f>K3*365</f>
        <v>3650</v>
      </c>
      <c r="E40" s="55" t="s">
        <v>30</v>
      </c>
      <c r="F40" s="4"/>
      <c r="G40" s="8" t="s">
        <v>70</v>
      </c>
      <c r="H40" s="4"/>
      <c r="I40" s="4"/>
      <c r="J40" s="4"/>
      <c r="K40" s="73">
        <f>K39/K38</f>
        <v>0.46417827919954618</v>
      </c>
      <c r="L40" s="4"/>
      <c r="M40" s="4"/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3">
      <c r="A41" s="2"/>
      <c r="B41" s="65" t="s">
        <v>25</v>
      </c>
      <c r="C41" s="2"/>
      <c r="D41" s="10">
        <f>SUM(D38:D40)</f>
        <v>8448.0476896033815</v>
      </c>
      <c r="E41" s="8" t="s">
        <v>30</v>
      </c>
      <c r="F41" s="4"/>
      <c r="G41" s="8" t="s">
        <v>71</v>
      </c>
      <c r="H41" s="4"/>
      <c r="I41" s="4"/>
      <c r="J41" s="4"/>
      <c r="K41" s="73">
        <f>K39/(SUM(D39:D40)+K38)</f>
        <v>0.27083505439746347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"/>
      <c r="B42" s="2"/>
      <c r="C42" s="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Z1011"/>
  <sheetViews>
    <sheetView topLeftCell="A198" workbookViewId="0">
      <selection activeCell="R218" sqref="R218:R224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297</v>
      </c>
      <c r="H3" s="8" t="s">
        <v>252</v>
      </c>
      <c r="I3" s="4"/>
      <c r="J3" s="10">
        <v>2007</v>
      </c>
      <c r="K3" s="9">
        <f>SUM(I11:K11)/92</f>
        <v>14.891304347826088</v>
      </c>
      <c r="L3" s="8" t="s">
        <v>7</v>
      </c>
      <c r="M3" s="10">
        <v>2009</v>
      </c>
      <c r="N3" s="9">
        <f>SUM(I33:K33)/92</f>
        <v>12.826086956521738</v>
      </c>
      <c r="O3" s="8" t="s">
        <v>7</v>
      </c>
      <c r="P3" s="10">
        <v>2011</v>
      </c>
      <c r="Q3" s="2">
        <v>11</v>
      </c>
      <c r="R3" s="8" t="s">
        <v>7</v>
      </c>
      <c r="S3" s="10">
        <v>2020</v>
      </c>
      <c r="T3" s="2">
        <v>11</v>
      </c>
      <c r="U3" s="8" t="s">
        <v>7</v>
      </c>
      <c r="V3" s="2"/>
      <c r="W3" s="2"/>
      <c r="X3" s="2"/>
      <c r="Y3" s="2"/>
      <c r="Z3" s="2"/>
    </row>
    <row r="4" spans="1:26" ht="12.75" customHeight="1" x14ac:dyDescent="0.25">
      <c r="A4" s="7" t="s">
        <v>298</v>
      </c>
      <c r="B4" s="2"/>
      <c r="C4" s="2"/>
      <c r="D4" s="8" t="s">
        <v>10</v>
      </c>
      <c r="E4" s="4"/>
      <c r="F4" s="10">
        <f>2.52*F3</f>
        <v>241.92000000000002</v>
      </c>
      <c r="G4" s="8" t="s">
        <v>299</v>
      </c>
      <c r="H4" s="8"/>
      <c r="I4" s="4"/>
      <c r="J4" s="10">
        <v>2008</v>
      </c>
      <c r="K4" s="9">
        <f>SUM(I22:K22)/92</f>
        <v>14.815217391304348</v>
      </c>
      <c r="L4" s="8" t="s">
        <v>7</v>
      </c>
      <c r="M4" s="10">
        <v>2010</v>
      </c>
      <c r="N4" s="9">
        <f>SUM(I44:K44)/92</f>
        <v>13.717391304347826</v>
      </c>
      <c r="O4" s="8" t="s">
        <v>7</v>
      </c>
      <c r="P4" s="10">
        <v>2012</v>
      </c>
      <c r="Q4" s="2">
        <v>10</v>
      </c>
      <c r="R4" s="8" t="s">
        <v>7</v>
      </c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82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300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931</v>
      </c>
      <c r="E9" s="31">
        <v>991</v>
      </c>
      <c r="F9" s="31">
        <v>665</v>
      </c>
      <c r="G9" s="31">
        <v>542</v>
      </c>
      <c r="H9" s="31">
        <v>363</v>
      </c>
      <c r="I9" s="31">
        <v>163</v>
      </c>
      <c r="J9" s="31">
        <v>158</v>
      </c>
      <c r="K9" s="31">
        <v>210</v>
      </c>
      <c r="L9" s="31">
        <v>290</v>
      </c>
      <c r="M9" s="31">
        <v>485</v>
      </c>
      <c r="N9" s="31">
        <v>754</v>
      </c>
      <c r="O9" s="31">
        <v>830</v>
      </c>
      <c r="P9" s="31">
        <f t="shared" ref="P9:P15" si="0">SUM(D9:O9)</f>
        <v>6382</v>
      </c>
      <c r="Q9" s="2"/>
      <c r="R9" s="34"/>
      <c r="S9" s="34"/>
      <c r="T9" s="36"/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643</v>
      </c>
      <c r="E10" s="31">
        <v>632</v>
      </c>
      <c r="F10" s="31">
        <v>575</v>
      </c>
      <c r="G10" s="31">
        <v>507</v>
      </c>
      <c r="H10" s="31">
        <v>409</v>
      </c>
      <c r="I10" s="31">
        <v>350</v>
      </c>
      <c r="J10" s="31">
        <v>256</v>
      </c>
      <c r="K10" s="31">
        <v>233</v>
      </c>
      <c r="L10" s="31">
        <v>379</v>
      </c>
      <c r="M10" s="31">
        <v>490</v>
      </c>
      <c r="N10" s="31">
        <v>634</v>
      </c>
      <c r="O10" s="31">
        <v>518</v>
      </c>
      <c r="P10" s="31">
        <f t="shared" si="0"/>
        <v>5626</v>
      </c>
      <c r="Q10" s="39"/>
      <c r="R10" s="34"/>
      <c r="S10" s="34"/>
      <c r="T10" s="36"/>
      <c r="U10" s="11"/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1">SUM(D9:D10)</f>
        <v>1574</v>
      </c>
      <c r="E11" s="31">
        <f t="shared" si="1"/>
        <v>1623</v>
      </c>
      <c r="F11" s="31">
        <f t="shared" si="1"/>
        <v>1240</v>
      </c>
      <c r="G11" s="31">
        <f t="shared" si="1"/>
        <v>1049</v>
      </c>
      <c r="H11" s="31">
        <f t="shared" si="1"/>
        <v>772</v>
      </c>
      <c r="I11" s="31">
        <f t="shared" si="1"/>
        <v>513</v>
      </c>
      <c r="J11" s="31">
        <f t="shared" si="1"/>
        <v>414</v>
      </c>
      <c r="K11" s="31">
        <f t="shared" si="1"/>
        <v>443</v>
      </c>
      <c r="L11" s="31">
        <f t="shared" si="1"/>
        <v>669</v>
      </c>
      <c r="M11" s="31">
        <f t="shared" si="1"/>
        <v>975</v>
      </c>
      <c r="N11" s="31">
        <f t="shared" si="1"/>
        <v>1388</v>
      </c>
      <c r="O11" s="31">
        <f t="shared" si="1"/>
        <v>1348</v>
      </c>
      <c r="P11" s="40">
        <f t="shared" si="0"/>
        <v>12008</v>
      </c>
      <c r="Q11" s="39"/>
      <c r="R11" s="34"/>
      <c r="S11" s="34"/>
      <c r="T11" s="34"/>
      <c r="U11" s="11"/>
      <c r="V11" s="2"/>
      <c r="W11" s="2"/>
      <c r="X11" s="2"/>
      <c r="Y11" s="2"/>
      <c r="Z11" s="2"/>
    </row>
    <row r="12" spans="1:26" ht="12.75" customHeight="1" x14ac:dyDescent="0.25">
      <c r="A12" s="24">
        <v>2007</v>
      </c>
      <c r="B12" s="41" t="s">
        <v>36</v>
      </c>
      <c r="C12" s="26" t="s">
        <v>301</v>
      </c>
      <c r="D12" s="31">
        <v>636</v>
      </c>
      <c r="E12" s="31">
        <v>781</v>
      </c>
      <c r="F12" s="31">
        <v>457</v>
      </c>
      <c r="G12" s="31">
        <v>338</v>
      </c>
      <c r="H12" s="31">
        <v>102</v>
      </c>
      <c r="I12" s="31">
        <v>0</v>
      </c>
      <c r="J12" s="31">
        <v>0</v>
      </c>
      <c r="K12" s="31">
        <v>47</v>
      </c>
      <c r="L12" s="31">
        <v>166</v>
      </c>
      <c r="M12" s="31">
        <v>347</v>
      </c>
      <c r="N12" s="31">
        <v>529</v>
      </c>
      <c r="O12" s="31">
        <v>496</v>
      </c>
      <c r="P12" s="31">
        <f t="shared" si="0"/>
        <v>3899</v>
      </c>
      <c r="Q12" s="43"/>
      <c r="R12" s="11"/>
      <c r="S12" s="34"/>
      <c r="T12" s="34"/>
      <c r="U12" s="11"/>
      <c r="V12" s="34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39</v>
      </c>
      <c r="C13" s="26" t="s">
        <v>302</v>
      </c>
      <c r="D13" s="31">
        <v>743</v>
      </c>
      <c r="E13" s="31">
        <v>693</v>
      </c>
      <c r="F13" s="31">
        <v>621</v>
      </c>
      <c r="G13" s="31">
        <v>422</v>
      </c>
      <c r="H13" s="31">
        <v>174</v>
      </c>
      <c r="I13" s="31">
        <v>25</v>
      </c>
      <c r="J13" s="31">
        <v>7</v>
      </c>
      <c r="K13" s="31">
        <v>36</v>
      </c>
      <c r="L13" s="31">
        <v>217</v>
      </c>
      <c r="M13" s="31">
        <v>398</v>
      </c>
      <c r="N13" s="31">
        <v>538</v>
      </c>
      <c r="O13" s="31">
        <v>681</v>
      </c>
      <c r="P13" s="31">
        <f t="shared" si="0"/>
        <v>4555</v>
      </c>
      <c r="Q13" s="2"/>
      <c r="R13" s="36"/>
      <c r="S13" s="2"/>
      <c r="T13" s="43"/>
      <c r="U13" s="43"/>
      <c r="V13" s="43"/>
      <c r="W13" s="2"/>
      <c r="X13" s="2"/>
      <c r="Y13" s="2"/>
      <c r="Z13" s="2"/>
    </row>
    <row r="14" spans="1:26" ht="12.75" customHeight="1" x14ac:dyDescent="0.25">
      <c r="A14" s="24">
        <v>2007</v>
      </c>
      <c r="B14" s="25" t="s">
        <v>42</v>
      </c>
      <c r="C14" s="30" t="s">
        <v>30</v>
      </c>
      <c r="D14" s="31">
        <f t="shared" ref="D14:I14" si="2">D11-D7*($K$3)</f>
        <v>1112.3695652173913</v>
      </c>
      <c r="E14" s="31">
        <f t="shared" si="2"/>
        <v>1206.0434782608695</v>
      </c>
      <c r="F14" s="31">
        <f t="shared" si="2"/>
        <v>778.36956521739125</v>
      </c>
      <c r="G14" s="31">
        <f t="shared" si="2"/>
        <v>602.26086956521738</v>
      </c>
      <c r="H14" s="31">
        <f t="shared" si="2"/>
        <v>310.36956521739125</v>
      </c>
      <c r="I14" s="31">
        <f t="shared" si="2"/>
        <v>66.260869565217376</v>
      </c>
      <c r="J14" s="31">
        <v>0</v>
      </c>
      <c r="K14" s="31">
        <v>0</v>
      </c>
      <c r="L14" s="31">
        <f t="shared" ref="L14:O14" si="3">L11-L7*($K$3)</f>
        <v>222.26086956521738</v>
      </c>
      <c r="M14" s="31">
        <f t="shared" si="3"/>
        <v>513.36956521739125</v>
      </c>
      <c r="N14" s="31">
        <f t="shared" si="3"/>
        <v>941.26086956521738</v>
      </c>
      <c r="O14" s="31">
        <f t="shared" si="3"/>
        <v>886.36956521739125</v>
      </c>
      <c r="P14" s="31">
        <f t="shared" si="0"/>
        <v>6638.9347826086951</v>
      </c>
      <c r="Q14" s="2"/>
      <c r="R14" s="2"/>
      <c r="S14" s="2"/>
      <c r="T14" s="11"/>
      <c r="U14" s="2"/>
      <c r="V14" s="2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43</v>
      </c>
      <c r="C15" s="30" t="s">
        <v>30</v>
      </c>
      <c r="D15" s="31">
        <f t="shared" ref="D15:H15" si="4">IF(D14&lt;0,0,((D13/D12))*D14)</f>
        <v>1299.513501503965</v>
      </c>
      <c r="E15" s="31">
        <f t="shared" si="4"/>
        <v>1070.1512553582363</v>
      </c>
      <c r="F15" s="31">
        <f t="shared" si="4"/>
        <v>1057.6969365426694</v>
      </c>
      <c r="G15" s="31">
        <f t="shared" si="4"/>
        <v>751.93516851041932</v>
      </c>
      <c r="H15" s="31">
        <f t="shared" si="4"/>
        <v>529.45396419437327</v>
      </c>
      <c r="I15" s="31">
        <f>I14</f>
        <v>66.260869565217376</v>
      </c>
      <c r="J15" s="31">
        <v>0</v>
      </c>
      <c r="K15" s="31">
        <v>0</v>
      </c>
      <c r="L15" s="31">
        <f t="shared" ref="L15:O15" si="5">IF(L14&lt;0,0,((L13/L12))*L14)</f>
        <v>290.54583551597693</v>
      </c>
      <c r="M15" s="31">
        <f t="shared" si="5"/>
        <v>588.82157624357842</v>
      </c>
      <c r="N15" s="31">
        <f t="shared" si="5"/>
        <v>957.27475959562742</v>
      </c>
      <c r="O15" s="31">
        <f t="shared" si="5"/>
        <v>1216.9711167601683</v>
      </c>
      <c r="P15" s="40">
        <f t="shared" si="0"/>
        <v>7828.6249837902305</v>
      </c>
      <c r="Q15" s="39"/>
      <c r="R15" s="34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2"/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12" t="s">
        <v>12</v>
      </c>
      <c r="B17" s="13"/>
      <c r="C17" s="14"/>
      <c r="D17" s="15" t="s">
        <v>13</v>
      </c>
      <c r="E17" s="15" t="s">
        <v>14</v>
      </c>
      <c r="F17" s="15" t="s">
        <v>15</v>
      </c>
      <c r="G17" s="15" t="s">
        <v>16</v>
      </c>
      <c r="H17" s="15" t="s">
        <v>17</v>
      </c>
      <c r="I17" s="15" t="s">
        <v>18</v>
      </c>
      <c r="J17" s="15" t="s">
        <v>19</v>
      </c>
      <c r="K17" s="15" t="s">
        <v>20</v>
      </c>
      <c r="L17" s="15" t="s">
        <v>21</v>
      </c>
      <c r="M17" s="15" t="s">
        <v>22</v>
      </c>
      <c r="N17" s="15" t="s">
        <v>23</v>
      </c>
      <c r="O17" s="15" t="s">
        <v>24</v>
      </c>
      <c r="P17" s="15" t="s">
        <v>25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hidden="1" customHeight="1" x14ac:dyDescent="0.25">
      <c r="A18" s="12"/>
      <c r="B18" s="13"/>
      <c r="C18" s="14"/>
      <c r="D18" s="77">
        <v>31</v>
      </c>
      <c r="E18" s="77">
        <v>29</v>
      </c>
      <c r="F18" s="77">
        <v>31</v>
      </c>
      <c r="G18" s="77">
        <v>30</v>
      </c>
      <c r="H18" s="77">
        <v>31</v>
      </c>
      <c r="I18" s="77">
        <v>30</v>
      </c>
      <c r="J18" s="77">
        <v>31</v>
      </c>
      <c r="K18" s="77">
        <v>31</v>
      </c>
      <c r="L18" s="77">
        <v>30</v>
      </c>
      <c r="M18" s="77">
        <v>31</v>
      </c>
      <c r="N18" s="77">
        <v>30</v>
      </c>
      <c r="O18" s="77">
        <v>31</v>
      </c>
      <c r="P18" s="15">
        <f>SUM(D18:O18)</f>
        <v>366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4">
        <v>2008</v>
      </c>
      <c r="B19" s="25" t="s">
        <v>27</v>
      </c>
      <c r="C19" s="26" t="s">
        <v>303</v>
      </c>
      <c r="D19" s="27">
        <v>-1.1000000000000001</v>
      </c>
      <c r="E19" s="27">
        <v>-0.3</v>
      </c>
      <c r="F19" s="27">
        <v>-0.5</v>
      </c>
      <c r="G19" s="27">
        <v>6.8</v>
      </c>
      <c r="H19" s="27">
        <v>10.1</v>
      </c>
      <c r="I19" s="27">
        <v>13.9</v>
      </c>
      <c r="J19" s="27">
        <v>16.3</v>
      </c>
      <c r="K19" s="27">
        <v>14.4</v>
      </c>
      <c r="L19" s="27">
        <v>9.1</v>
      </c>
      <c r="M19" s="27">
        <v>7.1</v>
      </c>
      <c r="N19" s="27">
        <v>1.4</v>
      </c>
      <c r="O19" s="27">
        <v>-0.3</v>
      </c>
      <c r="P19" s="27">
        <f>AVERAGE(D19:O19)</f>
        <v>6.4083333333333341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4">
        <v>2008</v>
      </c>
      <c r="B20" s="25" t="s">
        <v>29</v>
      </c>
      <c r="C20" s="30" t="s">
        <v>30</v>
      </c>
      <c r="D20" s="31">
        <v>892</v>
      </c>
      <c r="E20" s="31">
        <v>710</v>
      </c>
      <c r="F20" s="31">
        <v>814</v>
      </c>
      <c r="G20" s="31">
        <v>420</v>
      </c>
      <c r="H20" s="31">
        <v>297</v>
      </c>
      <c r="I20" s="31">
        <v>326</v>
      </c>
      <c r="J20" s="31">
        <v>236</v>
      </c>
      <c r="K20" s="31">
        <v>183</v>
      </c>
      <c r="L20" s="31">
        <v>390</v>
      </c>
      <c r="M20" s="31">
        <v>388</v>
      </c>
      <c r="N20" s="31">
        <v>723</v>
      </c>
      <c r="O20" s="31">
        <v>813</v>
      </c>
      <c r="P20" s="31">
        <f t="shared" ref="P20:P26" si="6">SUM(D20:O20)</f>
        <v>6192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4">
        <v>2008</v>
      </c>
      <c r="B21" s="25" t="s">
        <v>31</v>
      </c>
      <c r="C21" s="30" t="s">
        <v>30</v>
      </c>
      <c r="D21" s="31">
        <v>537</v>
      </c>
      <c r="E21" s="31">
        <v>458</v>
      </c>
      <c r="F21" s="31">
        <v>608</v>
      </c>
      <c r="G21" s="31">
        <v>485</v>
      </c>
      <c r="H21" s="31">
        <v>408</v>
      </c>
      <c r="I21" s="31">
        <v>277</v>
      </c>
      <c r="J21" s="31">
        <v>229</v>
      </c>
      <c r="K21" s="31">
        <v>112</v>
      </c>
      <c r="L21" s="31">
        <v>356</v>
      </c>
      <c r="M21" s="31">
        <v>447</v>
      </c>
      <c r="N21" s="31">
        <v>460</v>
      </c>
      <c r="O21" s="31">
        <v>521</v>
      </c>
      <c r="P21" s="31">
        <f t="shared" si="6"/>
        <v>4898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4">
        <v>2008</v>
      </c>
      <c r="B22" s="25" t="s">
        <v>32</v>
      </c>
      <c r="C22" s="30" t="s">
        <v>30</v>
      </c>
      <c r="D22" s="31">
        <f t="shared" ref="D22:O22" si="7">SUM(D20:D21)</f>
        <v>1429</v>
      </c>
      <c r="E22" s="31">
        <f t="shared" si="7"/>
        <v>1168</v>
      </c>
      <c r="F22" s="31">
        <f t="shared" si="7"/>
        <v>1422</v>
      </c>
      <c r="G22" s="31">
        <f t="shared" si="7"/>
        <v>905</v>
      </c>
      <c r="H22" s="31">
        <f t="shared" si="7"/>
        <v>705</v>
      </c>
      <c r="I22" s="31">
        <f t="shared" si="7"/>
        <v>603</v>
      </c>
      <c r="J22" s="31">
        <f t="shared" si="7"/>
        <v>465</v>
      </c>
      <c r="K22" s="31">
        <f t="shared" si="7"/>
        <v>295</v>
      </c>
      <c r="L22" s="31">
        <f t="shared" si="7"/>
        <v>746</v>
      </c>
      <c r="M22" s="31">
        <f t="shared" si="7"/>
        <v>835</v>
      </c>
      <c r="N22" s="31">
        <f t="shared" si="7"/>
        <v>1183</v>
      </c>
      <c r="O22" s="31">
        <f t="shared" si="7"/>
        <v>1334</v>
      </c>
      <c r="P22" s="40">
        <f t="shared" si="6"/>
        <v>11090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24">
        <v>2008</v>
      </c>
      <c r="B23" s="41" t="s">
        <v>36</v>
      </c>
      <c r="C23" s="26" t="s">
        <v>304</v>
      </c>
      <c r="D23" s="31">
        <v>560</v>
      </c>
      <c r="E23" s="31">
        <v>505</v>
      </c>
      <c r="F23" s="31">
        <v>564</v>
      </c>
      <c r="G23" s="31">
        <v>321</v>
      </c>
      <c r="H23" s="31">
        <v>159</v>
      </c>
      <c r="I23" s="31">
        <v>8</v>
      </c>
      <c r="J23" s="31">
        <v>0</v>
      </c>
      <c r="K23" s="31">
        <v>33</v>
      </c>
      <c r="L23" s="31">
        <v>225</v>
      </c>
      <c r="M23" s="31">
        <v>304</v>
      </c>
      <c r="N23" s="31">
        <v>465</v>
      </c>
      <c r="O23" s="31">
        <v>537</v>
      </c>
      <c r="P23" s="31">
        <f t="shared" si="6"/>
        <v>3681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24">
        <v>2008</v>
      </c>
      <c r="B24" s="41" t="s">
        <v>39</v>
      </c>
      <c r="C24" s="26" t="s">
        <v>305</v>
      </c>
      <c r="D24" s="31">
        <v>743</v>
      </c>
      <c r="E24" s="31">
        <v>693</v>
      </c>
      <c r="F24" s="31">
        <v>621</v>
      </c>
      <c r="G24" s="31">
        <v>422</v>
      </c>
      <c r="H24" s="31">
        <v>174</v>
      </c>
      <c r="I24" s="31">
        <v>25</v>
      </c>
      <c r="J24" s="31">
        <v>7</v>
      </c>
      <c r="K24" s="31">
        <v>36</v>
      </c>
      <c r="L24" s="31">
        <v>217</v>
      </c>
      <c r="M24" s="31">
        <v>398</v>
      </c>
      <c r="N24" s="31">
        <v>538</v>
      </c>
      <c r="O24" s="31">
        <v>681</v>
      </c>
      <c r="P24" s="31">
        <f t="shared" si="6"/>
        <v>4555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24">
        <v>2008</v>
      </c>
      <c r="B25" s="25" t="s">
        <v>42</v>
      </c>
      <c r="C25" s="30" t="s">
        <v>30</v>
      </c>
      <c r="D25" s="31">
        <f>D22-D18*($K$4)</f>
        <v>969.72826086956525</v>
      </c>
      <c r="E25" s="31">
        <f t="shared" ref="E25:I25" si="8">E22-E18*($K$3)</f>
        <v>736.1521739130435</v>
      </c>
      <c r="F25" s="31">
        <f t="shared" si="8"/>
        <v>960.36956521739125</v>
      </c>
      <c r="G25" s="31">
        <f t="shared" si="8"/>
        <v>458.26086956521738</v>
      </c>
      <c r="H25" s="31">
        <f t="shared" si="8"/>
        <v>243.36956521739125</v>
      </c>
      <c r="I25" s="31">
        <f t="shared" si="8"/>
        <v>156.26086956521738</v>
      </c>
      <c r="J25" s="31">
        <v>0</v>
      </c>
      <c r="K25" s="31">
        <v>0</v>
      </c>
      <c r="L25" s="31">
        <f t="shared" ref="L25:O25" si="9">L22-L18*($K$3)</f>
        <v>299.26086956521738</v>
      </c>
      <c r="M25" s="31">
        <f t="shared" si="9"/>
        <v>373.36956521739125</v>
      </c>
      <c r="N25" s="31">
        <f t="shared" si="9"/>
        <v>736.26086956521738</v>
      </c>
      <c r="O25" s="31">
        <f t="shared" si="9"/>
        <v>872.36956521739125</v>
      </c>
      <c r="P25" s="31">
        <f t="shared" si="6"/>
        <v>5805.402173913043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4">
        <v>2008</v>
      </c>
      <c r="B26" s="25" t="s">
        <v>43</v>
      </c>
      <c r="C26" s="30" t="s">
        <v>30</v>
      </c>
      <c r="D26" s="31">
        <f t="shared" ref="D26:H26" si="10">IF(D25&lt;0,0,((D24/D23))*D25)</f>
        <v>1286.6216032608695</v>
      </c>
      <c r="E26" s="31">
        <f t="shared" si="10"/>
        <v>1010.2048643994835</v>
      </c>
      <c r="F26" s="31">
        <f t="shared" si="10"/>
        <v>1057.4281914893616</v>
      </c>
      <c r="G26" s="31">
        <f t="shared" si="10"/>
        <v>602.44886902343217</v>
      </c>
      <c r="H26" s="31">
        <f t="shared" si="10"/>
        <v>266.32895816242814</v>
      </c>
      <c r="I26" s="42">
        <f>I25</f>
        <v>156.26086956521738</v>
      </c>
      <c r="J26" s="42">
        <v>0</v>
      </c>
      <c r="K26" s="42">
        <v>0</v>
      </c>
      <c r="L26" s="31">
        <f t="shared" ref="L26:O26" si="11">IF(L25&lt;0,0,((L24/L23))*L25)</f>
        <v>288.62048309178743</v>
      </c>
      <c r="M26" s="31">
        <f t="shared" si="11"/>
        <v>488.81936498855828</v>
      </c>
      <c r="N26" s="31">
        <f t="shared" si="11"/>
        <v>851.84590930341278</v>
      </c>
      <c r="O26" s="31">
        <f t="shared" si="11"/>
        <v>1106.3010687393732</v>
      </c>
      <c r="P26" s="40">
        <f t="shared" si="6"/>
        <v>7114.8801820239241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2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12" t="s">
        <v>12</v>
      </c>
      <c r="B28" s="13"/>
      <c r="C28" s="14"/>
      <c r="D28" s="15" t="s">
        <v>13</v>
      </c>
      <c r="E28" s="15" t="s">
        <v>14</v>
      </c>
      <c r="F28" s="15" t="s">
        <v>15</v>
      </c>
      <c r="G28" s="15" t="s">
        <v>16</v>
      </c>
      <c r="H28" s="15" t="s">
        <v>17</v>
      </c>
      <c r="I28" s="15" t="s">
        <v>18</v>
      </c>
      <c r="J28" s="15" t="s">
        <v>19</v>
      </c>
      <c r="K28" s="15" t="s">
        <v>20</v>
      </c>
      <c r="L28" s="15" t="s">
        <v>21</v>
      </c>
      <c r="M28" s="15" t="s">
        <v>22</v>
      </c>
      <c r="N28" s="15" t="s">
        <v>23</v>
      </c>
      <c r="O28" s="15" t="s">
        <v>24</v>
      </c>
      <c r="P28" s="15" t="s">
        <v>25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hidden="1" customHeight="1" x14ac:dyDescent="0.25">
      <c r="A29" s="12"/>
      <c r="B29" s="13"/>
      <c r="C29" s="14"/>
      <c r="D29" s="77">
        <v>31</v>
      </c>
      <c r="E29" s="77">
        <v>28</v>
      </c>
      <c r="F29" s="77">
        <v>31</v>
      </c>
      <c r="G29" s="77">
        <v>30</v>
      </c>
      <c r="H29" s="77">
        <v>31</v>
      </c>
      <c r="I29" s="77">
        <v>30</v>
      </c>
      <c r="J29" s="77">
        <v>31</v>
      </c>
      <c r="K29" s="77">
        <v>31</v>
      </c>
      <c r="L29" s="77">
        <v>30</v>
      </c>
      <c r="M29" s="77">
        <v>31</v>
      </c>
      <c r="N29" s="77">
        <v>30</v>
      </c>
      <c r="O29" s="77">
        <v>31</v>
      </c>
      <c r="P29" s="15">
        <f>SUM(D29:O29)</f>
        <v>365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24">
        <v>2009</v>
      </c>
      <c r="B30" s="25" t="s">
        <v>27</v>
      </c>
      <c r="C30" s="26" t="s">
        <v>306</v>
      </c>
      <c r="D30" s="27">
        <v>-4.3</v>
      </c>
      <c r="E30" s="27">
        <v>-4.0999999999999996</v>
      </c>
      <c r="F30" s="27">
        <v>-2.8</v>
      </c>
      <c r="G30" s="27">
        <v>3.9</v>
      </c>
      <c r="H30" s="27">
        <v>10.4</v>
      </c>
      <c r="I30" s="27">
        <v>13.3</v>
      </c>
      <c r="J30" s="27">
        <v>16.100000000000001</v>
      </c>
      <c r="K30" s="27">
        <v>14.8</v>
      </c>
      <c r="L30" s="27">
        <v>11.3</v>
      </c>
      <c r="M30" s="27">
        <v>1.7</v>
      </c>
      <c r="N30" s="27">
        <v>0.9</v>
      </c>
      <c r="O30" s="27">
        <v>-7.5</v>
      </c>
      <c r="P30" s="27">
        <f>AVERAGE(D30:O30)</f>
        <v>4.4749999999999996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24">
        <v>2009</v>
      </c>
      <c r="B31" s="25" t="s">
        <v>29</v>
      </c>
      <c r="C31" s="30" t="s">
        <v>30</v>
      </c>
      <c r="D31" s="31">
        <v>851</v>
      </c>
      <c r="E31" s="31">
        <v>817</v>
      </c>
      <c r="F31" s="31">
        <v>714</v>
      </c>
      <c r="G31" s="31">
        <v>589</v>
      </c>
      <c r="H31" s="31">
        <v>258</v>
      </c>
      <c r="I31" s="31">
        <v>221</v>
      </c>
      <c r="J31" s="31">
        <v>211</v>
      </c>
      <c r="K31" s="31">
        <v>132</v>
      </c>
      <c r="L31" s="31">
        <v>263</v>
      </c>
      <c r="M31" s="31">
        <v>573</v>
      </c>
      <c r="N31" s="31">
        <v>696</v>
      </c>
      <c r="O31" s="31">
        <v>850</v>
      </c>
      <c r="P31" s="31">
        <f t="shared" ref="P31:P37" si="12">SUM(D31:O31)</f>
        <v>6175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24">
        <v>2009</v>
      </c>
      <c r="B32" s="25" t="s">
        <v>31</v>
      </c>
      <c r="C32" s="30" t="s">
        <v>30</v>
      </c>
      <c r="D32" s="31">
        <v>570</v>
      </c>
      <c r="E32" s="31">
        <v>530</v>
      </c>
      <c r="F32" s="31">
        <v>526</v>
      </c>
      <c r="G32" s="31">
        <v>484</v>
      </c>
      <c r="H32" s="31">
        <v>433</v>
      </c>
      <c r="I32" s="31">
        <v>296</v>
      </c>
      <c r="J32" s="31">
        <v>196</v>
      </c>
      <c r="K32" s="31">
        <v>124</v>
      </c>
      <c r="L32" s="31">
        <v>305</v>
      </c>
      <c r="M32" s="31">
        <v>427</v>
      </c>
      <c r="N32" s="31">
        <v>476</v>
      </c>
      <c r="O32" s="31">
        <v>595</v>
      </c>
      <c r="P32" s="31">
        <f t="shared" si="12"/>
        <v>4962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24">
        <v>2009</v>
      </c>
      <c r="B33" s="25" t="s">
        <v>32</v>
      </c>
      <c r="C33" s="30" t="s">
        <v>30</v>
      </c>
      <c r="D33" s="31">
        <f t="shared" ref="D33:O33" si="13">SUM(D31:D32)</f>
        <v>1421</v>
      </c>
      <c r="E33" s="31">
        <f t="shared" si="13"/>
        <v>1347</v>
      </c>
      <c r="F33" s="31">
        <f t="shared" si="13"/>
        <v>1240</v>
      </c>
      <c r="G33" s="31">
        <f t="shared" si="13"/>
        <v>1073</v>
      </c>
      <c r="H33" s="31">
        <f t="shared" si="13"/>
        <v>691</v>
      </c>
      <c r="I33" s="31">
        <f t="shared" si="13"/>
        <v>517</v>
      </c>
      <c r="J33" s="31">
        <f t="shared" si="13"/>
        <v>407</v>
      </c>
      <c r="K33" s="31">
        <f t="shared" si="13"/>
        <v>256</v>
      </c>
      <c r="L33" s="31">
        <f t="shared" si="13"/>
        <v>568</v>
      </c>
      <c r="M33" s="31">
        <f t="shared" si="13"/>
        <v>1000</v>
      </c>
      <c r="N33" s="31">
        <f t="shared" si="13"/>
        <v>1172</v>
      </c>
      <c r="O33" s="31">
        <f t="shared" si="13"/>
        <v>1445</v>
      </c>
      <c r="P33" s="40">
        <f t="shared" si="12"/>
        <v>11137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4">
        <v>2009</v>
      </c>
      <c r="B34" s="41" t="s">
        <v>36</v>
      </c>
      <c r="C34" s="26" t="s">
        <v>307</v>
      </c>
      <c r="D34" s="31">
        <v>681</v>
      </c>
      <c r="E34" s="31">
        <v>636</v>
      </c>
      <c r="F34" s="31">
        <v>602</v>
      </c>
      <c r="G34" s="31">
        <v>370</v>
      </c>
      <c r="H34" s="31">
        <v>108</v>
      </c>
      <c r="I34" s="31">
        <v>56</v>
      </c>
      <c r="J34" s="31">
        <v>6</v>
      </c>
      <c r="K34" s="31">
        <v>11</v>
      </c>
      <c r="L34" s="31">
        <v>106</v>
      </c>
      <c r="M34" s="31">
        <v>452</v>
      </c>
      <c r="N34" s="31">
        <v>461</v>
      </c>
      <c r="O34" s="31">
        <v>734</v>
      </c>
      <c r="P34" s="31">
        <f t="shared" si="12"/>
        <v>4223</v>
      </c>
      <c r="Q34" s="83"/>
      <c r="R34" s="84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4">
        <v>2009</v>
      </c>
      <c r="B35" s="41" t="s">
        <v>39</v>
      </c>
      <c r="C35" s="26" t="s">
        <v>308</v>
      </c>
      <c r="D35" s="31">
        <v>743</v>
      </c>
      <c r="E35" s="31">
        <v>693</v>
      </c>
      <c r="F35" s="31">
        <v>621</v>
      </c>
      <c r="G35" s="31">
        <v>422</v>
      </c>
      <c r="H35" s="31">
        <v>174</v>
      </c>
      <c r="I35" s="31">
        <v>25</v>
      </c>
      <c r="J35" s="31">
        <v>7</v>
      </c>
      <c r="K35" s="31">
        <v>36</v>
      </c>
      <c r="L35" s="31">
        <v>217</v>
      </c>
      <c r="M35" s="31">
        <v>398</v>
      </c>
      <c r="N35" s="31">
        <v>538</v>
      </c>
      <c r="O35" s="31">
        <v>681</v>
      </c>
      <c r="P35" s="31">
        <f t="shared" si="12"/>
        <v>4555</v>
      </c>
      <c r="Q35" s="83"/>
      <c r="R35" s="84">
        <f>'2009'!R16</f>
        <v>3385.0866666666666</v>
      </c>
      <c r="S35" s="11">
        <f>'2009'!R12</f>
        <v>2280.1666666666665</v>
      </c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4">
        <v>2009</v>
      </c>
      <c r="B36" s="25" t="s">
        <v>42</v>
      </c>
      <c r="C36" s="30" t="s">
        <v>30</v>
      </c>
      <c r="D36" s="31">
        <f t="shared" ref="D36:I36" si="14">D33-D29*($N$3)</f>
        <v>1023.3913043478261</v>
      </c>
      <c r="E36" s="31">
        <f t="shared" si="14"/>
        <v>987.86956521739125</v>
      </c>
      <c r="F36" s="31">
        <f t="shared" si="14"/>
        <v>842.39130434782612</v>
      </c>
      <c r="G36" s="31">
        <f t="shared" si="14"/>
        <v>688.21739130434787</v>
      </c>
      <c r="H36" s="31">
        <f t="shared" si="14"/>
        <v>293.39130434782612</v>
      </c>
      <c r="I36" s="31">
        <f t="shared" si="14"/>
        <v>132.21739130434787</v>
      </c>
      <c r="J36" s="31">
        <v>0</v>
      </c>
      <c r="K36" s="31">
        <v>0</v>
      </c>
      <c r="L36" s="31">
        <f t="shared" ref="L36:O36" si="15">L33-L29*($N$3)</f>
        <v>183.21739130434787</v>
      </c>
      <c r="M36" s="31">
        <f t="shared" si="15"/>
        <v>602.39130434782612</v>
      </c>
      <c r="N36" s="31">
        <f t="shared" si="15"/>
        <v>787.21739130434787</v>
      </c>
      <c r="O36" s="31">
        <f t="shared" si="15"/>
        <v>1047.391304347826</v>
      </c>
      <c r="P36" s="31">
        <f t="shared" si="12"/>
        <v>6587.695652173913</v>
      </c>
      <c r="Q36" s="2"/>
      <c r="R36" s="11">
        <f>AVERAGE(P36,P25,P14)</f>
        <v>6344.010869565217</v>
      </c>
      <c r="S36" s="11">
        <f>R35-S35</f>
        <v>1104.92</v>
      </c>
      <c r="T36" s="11">
        <f>R36-S36</f>
        <v>5239.090869565217</v>
      </c>
      <c r="U36" s="29">
        <f>T36/S35</f>
        <v>2.2976789136314086</v>
      </c>
      <c r="V36" s="2"/>
      <c r="W36" s="2"/>
      <c r="X36" s="2"/>
      <c r="Y36" s="2"/>
      <c r="Z36" s="2"/>
    </row>
    <row r="37" spans="1:26" ht="12.75" customHeight="1" x14ac:dyDescent="0.25">
      <c r="A37" s="24">
        <v>2009</v>
      </c>
      <c r="B37" s="25" t="s">
        <v>43</v>
      </c>
      <c r="C37" s="30" t="s">
        <v>30</v>
      </c>
      <c r="D37" s="31">
        <f t="shared" ref="D37:H37" si="16">IF(D36&lt;0,0,((D35/D34))*D36)</f>
        <v>1116.5634935836047</v>
      </c>
      <c r="E37" s="31">
        <f t="shared" si="16"/>
        <v>1076.4050451189498</v>
      </c>
      <c r="F37" s="31">
        <f t="shared" si="16"/>
        <v>868.97840531561462</v>
      </c>
      <c r="G37" s="31">
        <f t="shared" si="16"/>
        <v>784.93983548766153</v>
      </c>
      <c r="H37" s="42">
        <f t="shared" si="16"/>
        <v>472.68599033816434</v>
      </c>
      <c r="I37" s="42">
        <f t="shared" ref="I37:K37" si="17">I36</f>
        <v>132.21739130434787</v>
      </c>
      <c r="J37" s="42">
        <f t="shared" si="17"/>
        <v>0</v>
      </c>
      <c r="K37" s="42">
        <f t="shared" si="17"/>
        <v>0</v>
      </c>
      <c r="L37" s="42">
        <f t="shared" ref="L37:O37" si="18">IF(L36&lt;0,0,((L35/L34))*L36)</f>
        <v>375.07711238720276</v>
      </c>
      <c r="M37" s="31">
        <f t="shared" si="18"/>
        <v>530.42420161600626</v>
      </c>
      <c r="N37" s="31">
        <f t="shared" si="18"/>
        <v>918.70489484108271</v>
      </c>
      <c r="O37" s="31">
        <f t="shared" si="18"/>
        <v>971.76223196303749</v>
      </c>
      <c r="P37" s="40">
        <f t="shared" si="12"/>
        <v>7247.758601955672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12" t="s">
        <v>12</v>
      </c>
      <c r="B39" s="13"/>
      <c r="C39" s="14"/>
      <c r="D39" s="15" t="s">
        <v>13</v>
      </c>
      <c r="E39" s="15" t="s">
        <v>14</v>
      </c>
      <c r="F39" s="15" t="s">
        <v>15</v>
      </c>
      <c r="G39" s="15" t="s">
        <v>16</v>
      </c>
      <c r="H39" s="15" t="s">
        <v>17</v>
      </c>
      <c r="I39" s="15" t="s">
        <v>18</v>
      </c>
      <c r="J39" s="85" t="s">
        <v>19</v>
      </c>
      <c r="K39" s="15" t="s">
        <v>20</v>
      </c>
      <c r="L39" s="15" t="s">
        <v>21</v>
      </c>
      <c r="M39" s="15" t="s">
        <v>22</v>
      </c>
      <c r="N39" s="15" t="s">
        <v>23</v>
      </c>
      <c r="O39" s="15" t="s">
        <v>24</v>
      </c>
      <c r="P39" s="15" t="s">
        <v>25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hidden="1" customHeight="1" x14ac:dyDescent="0.25">
      <c r="A40" s="12"/>
      <c r="B40" s="13"/>
      <c r="C40" s="14"/>
      <c r="D40" s="77">
        <v>31</v>
      </c>
      <c r="E40" s="77">
        <v>28</v>
      </c>
      <c r="F40" s="77">
        <v>31</v>
      </c>
      <c r="G40" s="77">
        <v>30</v>
      </c>
      <c r="H40" s="77">
        <v>31</v>
      </c>
      <c r="I40" s="77">
        <v>30</v>
      </c>
      <c r="J40" s="86">
        <v>31</v>
      </c>
      <c r="K40" s="77">
        <v>31</v>
      </c>
      <c r="L40" s="77">
        <v>30</v>
      </c>
      <c r="M40" s="77">
        <v>31</v>
      </c>
      <c r="N40" s="77">
        <v>30</v>
      </c>
      <c r="O40" s="77">
        <v>31</v>
      </c>
      <c r="P40" s="15">
        <f>SUM(D40:O40)</f>
        <v>365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4">
        <v>2010</v>
      </c>
      <c r="B41" s="25" t="s">
        <v>27</v>
      </c>
      <c r="C41" s="26" t="s">
        <v>309</v>
      </c>
      <c r="D41" s="27">
        <v>-14.1</v>
      </c>
      <c r="E41" s="27">
        <v>-10.3</v>
      </c>
      <c r="F41" s="27">
        <v>-3.5</v>
      </c>
      <c r="G41" s="27">
        <v>3.8</v>
      </c>
      <c r="H41" s="27">
        <v>11</v>
      </c>
      <c r="I41" s="27">
        <v>14.2</v>
      </c>
      <c r="J41" s="87">
        <v>21.7</v>
      </c>
      <c r="K41" s="27">
        <v>16.5</v>
      </c>
      <c r="L41" s="27">
        <v>10.199999999999999</v>
      </c>
      <c r="M41" s="27">
        <v>3.4</v>
      </c>
      <c r="N41" s="27">
        <v>-3.1</v>
      </c>
      <c r="O41" s="27">
        <v>-11.7</v>
      </c>
      <c r="P41" s="27">
        <f>AVERAGE(D41:O41)</f>
        <v>3.1749999999999994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4">
        <v>2010</v>
      </c>
      <c r="B42" s="25" t="s">
        <v>29</v>
      </c>
      <c r="C42" s="30" t="s">
        <v>30</v>
      </c>
      <c r="D42" s="31">
        <v>1054</v>
      </c>
      <c r="E42" s="31">
        <v>911</v>
      </c>
      <c r="F42" s="31">
        <v>726</v>
      </c>
      <c r="G42" s="31">
        <v>517</v>
      </c>
      <c r="H42" s="31">
        <v>301</v>
      </c>
      <c r="I42" s="31">
        <v>256</v>
      </c>
      <c r="J42" s="88">
        <v>92</v>
      </c>
      <c r="K42" s="31">
        <v>113</v>
      </c>
      <c r="L42" s="31">
        <v>385</v>
      </c>
      <c r="M42" s="31">
        <v>640</v>
      </c>
      <c r="N42" s="31">
        <v>863</v>
      </c>
      <c r="O42" s="31">
        <v>1186</v>
      </c>
      <c r="P42" s="31">
        <f t="shared" ref="P42:P48" si="19">SUM(D42:O42)</f>
        <v>7044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4">
        <v>2010</v>
      </c>
      <c r="B43" s="25" t="s">
        <v>31</v>
      </c>
      <c r="C43" s="30" t="s">
        <v>30</v>
      </c>
      <c r="D43" s="31">
        <v>668</v>
      </c>
      <c r="E43" s="31">
        <v>637</v>
      </c>
      <c r="F43" s="31">
        <v>541</v>
      </c>
      <c r="G43" s="31">
        <v>496</v>
      </c>
      <c r="H43" s="31">
        <v>365</v>
      </c>
      <c r="I43" s="31">
        <v>307</v>
      </c>
      <c r="J43" s="88">
        <v>182</v>
      </c>
      <c r="K43" s="31">
        <v>312</v>
      </c>
      <c r="L43" s="31">
        <v>366</v>
      </c>
      <c r="M43" s="31">
        <v>472</v>
      </c>
      <c r="N43" s="31">
        <v>583</v>
      </c>
      <c r="O43" s="31">
        <v>778</v>
      </c>
      <c r="P43" s="31">
        <f t="shared" si="19"/>
        <v>5707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4">
        <v>2010</v>
      </c>
      <c r="B44" s="25" t="s">
        <v>32</v>
      </c>
      <c r="C44" s="30" t="s">
        <v>30</v>
      </c>
      <c r="D44" s="31">
        <f t="shared" ref="D44:O44" si="20">SUM(D42:D43)</f>
        <v>1722</v>
      </c>
      <c r="E44" s="31">
        <f t="shared" si="20"/>
        <v>1548</v>
      </c>
      <c r="F44" s="31">
        <f t="shared" si="20"/>
        <v>1267</v>
      </c>
      <c r="G44" s="31">
        <f t="shared" si="20"/>
        <v>1013</v>
      </c>
      <c r="H44" s="31">
        <f t="shared" si="20"/>
        <v>666</v>
      </c>
      <c r="I44" s="31">
        <f t="shared" si="20"/>
        <v>563</v>
      </c>
      <c r="J44" s="88">
        <f t="shared" si="20"/>
        <v>274</v>
      </c>
      <c r="K44" s="31">
        <f t="shared" si="20"/>
        <v>425</v>
      </c>
      <c r="L44" s="31">
        <f t="shared" si="20"/>
        <v>751</v>
      </c>
      <c r="M44" s="31">
        <f t="shared" si="20"/>
        <v>1112</v>
      </c>
      <c r="N44" s="31">
        <f t="shared" si="20"/>
        <v>1446</v>
      </c>
      <c r="O44" s="31">
        <f t="shared" si="20"/>
        <v>1964</v>
      </c>
      <c r="P44" s="40">
        <f t="shared" si="19"/>
        <v>12751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4">
        <v>2010</v>
      </c>
      <c r="B45" s="41" t="s">
        <v>36</v>
      </c>
      <c r="C45" s="26" t="s">
        <v>310</v>
      </c>
      <c r="D45" s="31">
        <v>942</v>
      </c>
      <c r="E45" s="31">
        <v>743</v>
      </c>
      <c r="F45" s="31">
        <v>616</v>
      </c>
      <c r="G45" s="31">
        <v>380</v>
      </c>
      <c r="H45" s="31">
        <v>139</v>
      </c>
      <c r="I45" s="31">
        <v>0</v>
      </c>
      <c r="J45" s="31">
        <v>0</v>
      </c>
      <c r="K45" s="31">
        <v>39</v>
      </c>
      <c r="L45" s="31">
        <v>153</v>
      </c>
      <c r="M45" s="31">
        <v>410</v>
      </c>
      <c r="N45" s="42">
        <v>585</v>
      </c>
      <c r="O45" s="42">
        <v>838</v>
      </c>
      <c r="P45" s="31">
        <f t="shared" si="19"/>
        <v>4845</v>
      </c>
      <c r="Q45" s="83"/>
      <c r="R45" s="84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4">
        <v>2010</v>
      </c>
      <c r="B46" s="41" t="s">
        <v>39</v>
      </c>
      <c r="C46" s="26" t="s">
        <v>311</v>
      </c>
      <c r="D46" s="31">
        <v>743</v>
      </c>
      <c r="E46" s="31">
        <v>693</v>
      </c>
      <c r="F46" s="31">
        <v>621</v>
      </c>
      <c r="G46" s="31">
        <v>422</v>
      </c>
      <c r="H46" s="31">
        <v>174</v>
      </c>
      <c r="I46" s="31">
        <v>25</v>
      </c>
      <c r="J46" s="31">
        <v>7</v>
      </c>
      <c r="K46" s="31">
        <v>36</v>
      </c>
      <c r="L46" s="31">
        <v>217</v>
      </c>
      <c r="M46" s="31">
        <v>398</v>
      </c>
      <c r="N46" s="31">
        <v>538</v>
      </c>
      <c r="O46" s="31">
        <v>681</v>
      </c>
      <c r="P46" s="31">
        <f t="shared" si="19"/>
        <v>4555</v>
      </c>
      <c r="Q46" s="83"/>
      <c r="R46" s="84"/>
      <c r="S46" s="11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4">
        <v>2010</v>
      </c>
      <c r="B47" s="25" t="s">
        <v>42</v>
      </c>
      <c r="C47" s="30" t="s">
        <v>30</v>
      </c>
      <c r="D47" s="31">
        <f t="shared" ref="D47:I47" si="21">D44-D40*($N$4)</f>
        <v>1296.7608695652175</v>
      </c>
      <c r="E47" s="31">
        <f t="shared" si="21"/>
        <v>1163.913043478261</v>
      </c>
      <c r="F47" s="31">
        <f t="shared" si="21"/>
        <v>841.76086956521738</v>
      </c>
      <c r="G47" s="31">
        <f t="shared" si="21"/>
        <v>601.47826086956525</v>
      </c>
      <c r="H47" s="31">
        <f t="shared" si="21"/>
        <v>240.76086956521738</v>
      </c>
      <c r="I47" s="31">
        <f t="shared" si="21"/>
        <v>151.47826086956519</v>
      </c>
      <c r="J47" s="31">
        <v>0</v>
      </c>
      <c r="K47" s="31">
        <f t="shared" ref="K47:O47" si="22">K44-K40*($N$4)</f>
        <v>-0.23913043478262352</v>
      </c>
      <c r="L47" s="31">
        <f t="shared" si="22"/>
        <v>339.47826086956519</v>
      </c>
      <c r="M47" s="31">
        <f t="shared" si="22"/>
        <v>686.76086956521738</v>
      </c>
      <c r="N47" s="31">
        <f t="shared" si="22"/>
        <v>1034.4782608695652</v>
      </c>
      <c r="O47" s="31">
        <f t="shared" si="22"/>
        <v>1538.7608695652175</v>
      </c>
      <c r="P47" s="31">
        <f t="shared" si="19"/>
        <v>7895.3913043478242</v>
      </c>
      <c r="Q47" s="2"/>
      <c r="R47" s="11"/>
      <c r="S47" s="11"/>
      <c r="T47" s="11"/>
      <c r="U47" s="29"/>
      <c r="V47" s="2"/>
      <c r="W47" s="2"/>
      <c r="X47" s="2"/>
      <c r="Y47" s="2"/>
      <c r="Z47" s="2"/>
    </row>
    <row r="48" spans="1:26" ht="12.75" customHeight="1" x14ac:dyDescent="0.25">
      <c r="A48" s="24">
        <v>2010</v>
      </c>
      <c r="B48" s="25" t="s">
        <v>43</v>
      </c>
      <c r="C48" s="30" t="s">
        <v>30</v>
      </c>
      <c r="D48" s="31">
        <f t="shared" ref="D48:H48" si="23">IF(D47&lt;0,0,((D46/D45))*D47)</f>
        <v>1022.8166943598266</v>
      </c>
      <c r="E48" s="31">
        <f t="shared" si="23"/>
        <v>1085.5878050207737</v>
      </c>
      <c r="F48" s="31">
        <f t="shared" si="23"/>
        <v>848.59334415584419</v>
      </c>
      <c r="G48" s="31">
        <f t="shared" si="23"/>
        <v>667.95743707093823</v>
      </c>
      <c r="H48" s="42">
        <f t="shared" si="23"/>
        <v>301.38411010322176</v>
      </c>
      <c r="I48" s="42">
        <f t="shared" ref="I48:K48" si="24">I47</f>
        <v>151.47826086956519</v>
      </c>
      <c r="J48" s="42">
        <f t="shared" si="24"/>
        <v>0</v>
      </c>
      <c r="K48" s="42">
        <f t="shared" si="24"/>
        <v>-0.23913043478262352</v>
      </c>
      <c r="L48" s="42">
        <f t="shared" ref="L48:O48" si="25">IF(L47&lt;0,0,((L46/L45))*L47)</f>
        <v>481.48223927252059</v>
      </c>
      <c r="M48" s="31">
        <f t="shared" si="25"/>
        <v>666.66055143160122</v>
      </c>
      <c r="N48" s="31">
        <f t="shared" si="25"/>
        <v>951.36633221850616</v>
      </c>
      <c r="O48" s="31">
        <f t="shared" si="25"/>
        <v>1250.4727352910659</v>
      </c>
      <c r="P48" s="40">
        <f t="shared" si="19"/>
        <v>7427.5603793590808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89"/>
      <c r="B49" s="2"/>
      <c r="C49" s="2"/>
      <c r="D49" s="84"/>
      <c r="E49" s="84"/>
      <c r="F49" s="84"/>
      <c r="G49" s="84"/>
      <c r="H49" s="90"/>
      <c r="I49" s="90"/>
      <c r="J49" s="90"/>
      <c r="K49" s="90"/>
      <c r="L49" s="90"/>
      <c r="M49" s="84"/>
      <c r="N49" s="84"/>
      <c r="O49" s="84"/>
      <c r="P49" s="91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12" t="s">
        <v>12</v>
      </c>
      <c r="B50" s="13"/>
      <c r="C50" s="14"/>
      <c r="D50" s="15" t="s">
        <v>13</v>
      </c>
      <c r="E50" s="15" t="s">
        <v>14</v>
      </c>
      <c r="F50" s="15" t="s">
        <v>15</v>
      </c>
      <c r="G50" s="15" t="s">
        <v>16</v>
      </c>
      <c r="H50" s="15" t="s">
        <v>17</v>
      </c>
      <c r="I50" s="15" t="s">
        <v>18</v>
      </c>
      <c r="J50" s="16" t="s">
        <v>19</v>
      </c>
      <c r="K50" s="15" t="s">
        <v>20</v>
      </c>
      <c r="L50" s="15" t="s">
        <v>21</v>
      </c>
      <c r="M50" s="15" t="s">
        <v>22</v>
      </c>
      <c r="N50" s="15" t="s">
        <v>23</v>
      </c>
      <c r="O50" s="15" t="s">
        <v>24</v>
      </c>
      <c r="P50" s="15" t="s">
        <v>25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hidden="1" customHeight="1" x14ac:dyDescent="0.25">
      <c r="A51" s="12"/>
      <c r="B51" s="13"/>
      <c r="C51" s="14"/>
      <c r="D51" s="77">
        <v>31</v>
      </c>
      <c r="E51" s="77">
        <v>28</v>
      </c>
      <c r="F51" s="77">
        <v>31</v>
      </c>
      <c r="G51" s="77">
        <v>30</v>
      </c>
      <c r="H51" s="77">
        <v>31</v>
      </c>
      <c r="I51" s="77">
        <v>30</v>
      </c>
      <c r="J51" s="78">
        <v>31</v>
      </c>
      <c r="K51" s="77">
        <v>31</v>
      </c>
      <c r="L51" s="77">
        <v>30</v>
      </c>
      <c r="M51" s="77">
        <v>31</v>
      </c>
      <c r="N51" s="77">
        <v>30</v>
      </c>
      <c r="O51" s="77">
        <v>31</v>
      </c>
      <c r="P51" s="15">
        <f>SUM(D51:O51)</f>
        <v>365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4">
        <v>2011</v>
      </c>
      <c r="B52" s="25" t="s">
        <v>27</v>
      </c>
      <c r="C52" s="26" t="s">
        <v>312</v>
      </c>
      <c r="D52" s="27">
        <v>-6.8</v>
      </c>
      <c r="E52" s="27">
        <v>-12.7</v>
      </c>
      <c r="F52" s="27">
        <v>-2.5</v>
      </c>
      <c r="G52" s="27">
        <v>5.2</v>
      </c>
      <c r="H52" s="27">
        <v>10.1</v>
      </c>
      <c r="I52" s="27">
        <v>16.600000000000001</v>
      </c>
      <c r="J52" s="27">
        <v>20</v>
      </c>
      <c r="K52" s="27">
        <v>15.6</v>
      </c>
      <c r="L52" s="27">
        <v>11.5</v>
      </c>
      <c r="M52" s="27">
        <v>6.2</v>
      </c>
      <c r="N52" s="27">
        <v>2.8</v>
      </c>
      <c r="O52" s="27">
        <v>0.4</v>
      </c>
      <c r="P52" s="27">
        <f>AVERAGE(D52:O52)</f>
        <v>5.5333333333333341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4">
        <v>2011</v>
      </c>
      <c r="B53" s="25" t="s">
        <v>29</v>
      </c>
      <c r="C53" s="30" t="s">
        <v>30</v>
      </c>
      <c r="D53" s="31">
        <v>990</v>
      </c>
      <c r="E53" s="31">
        <v>953</v>
      </c>
      <c r="F53" s="31">
        <v>828</v>
      </c>
      <c r="G53" s="31">
        <v>529</v>
      </c>
      <c r="H53" s="31">
        <v>412</v>
      </c>
      <c r="I53" s="31">
        <v>138</v>
      </c>
      <c r="J53" s="42">
        <v>88</v>
      </c>
      <c r="K53" s="31">
        <v>123</v>
      </c>
      <c r="L53" s="31">
        <v>316</v>
      </c>
      <c r="M53" s="31">
        <v>518</v>
      </c>
      <c r="N53" s="31">
        <v>689</v>
      </c>
      <c r="O53" s="31">
        <v>836</v>
      </c>
      <c r="P53" s="31">
        <f t="shared" ref="P53:P59" si="26">SUM(D53:O53)</f>
        <v>6420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4">
        <v>2011</v>
      </c>
      <c r="B54" s="25" t="s">
        <v>31</v>
      </c>
      <c r="C54" s="30" t="s">
        <v>30</v>
      </c>
      <c r="D54" s="31">
        <v>688</v>
      </c>
      <c r="E54" s="31">
        <v>646</v>
      </c>
      <c r="F54" s="31">
        <v>618</v>
      </c>
      <c r="G54" s="31">
        <v>441</v>
      </c>
      <c r="H54" s="31">
        <v>375</v>
      </c>
      <c r="I54" s="31">
        <v>200</v>
      </c>
      <c r="J54" s="42">
        <v>175</v>
      </c>
      <c r="K54" s="31">
        <v>163</v>
      </c>
      <c r="L54" s="31">
        <v>294</v>
      </c>
      <c r="M54" s="31">
        <v>390</v>
      </c>
      <c r="N54" s="31">
        <v>485</v>
      </c>
      <c r="O54" s="31">
        <v>581</v>
      </c>
      <c r="P54" s="31">
        <f t="shared" si="26"/>
        <v>5056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4">
        <v>2011</v>
      </c>
      <c r="B55" s="25" t="s">
        <v>32</v>
      </c>
      <c r="C55" s="30" t="s">
        <v>30</v>
      </c>
      <c r="D55" s="31">
        <f t="shared" ref="D55:O55" si="27">SUM(D53:D54)</f>
        <v>1678</v>
      </c>
      <c r="E55" s="31">
        <f t="shared" si="27"/>
        <v>1599</v>
      </c>
      <c r="F55" s="31">
        <f t="shared" si="27"/>
        <v>1446</v>
      </c>
      <c r="G55" s="31">
        <f t="shared" si="27"/>
        <v>970</v>
      </c>
      <c r="H55" s="31">
        <f t="shared" si="27"/>
        <v>787</v>
      </c>
      <c r="I55" s="31">
        <f t="shared" si="27"/>
        <v>338</v>
      </c>
      <c r="J55" s="42">
        <f t="shared" si="27"/>
        <v>263</v>
      </c>
      <c r="K55" s="31">
        <f t="shared" si="27"/>
        <v>286</v>
      </c>
      <c r="L55" s="31">
        <f t="shared" si="27"/>
        <v>610</v>
      </c>
      <c r="M55" s="31">
        <f t="shared" si="27"/>
        <v>908</v>
      </c>
      <c r="N55" s="31">
        <f t="shared" si="27"/>
        <v>1174</v>
      </c>
      <c r="O55" s="31">
        <f t="shared" si="27"/>
        <v>1417</v>
      </c>
      <c r="P55" s="40">
        <f t="shared" si="26"/>
        <v>11476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4">
        <v>2011</v>
      </c>
      <c r="B56" s="41" t="s">
        <v>36</v>
      </c>
      <c r="C56" s="26" t="s">
        <v>313</v>
      </c>
      <c r="D56" s="31">
        <v>720</v>
      </c>
      <c r="E56" s="31">
        <v>798</v>
      </c>
      <c r="F56" s="31">
        <v>590</v>
      </c>
      <c r="G56" s="31">
        <v>340</v>
      </c>
      <c r="H56" s="31">
        <v>109</v>
      </c>
      <c r="I56" s="31">
        <v>0</v>
      </c>
      <c r="J56" s="31">
        <v>0</v>
      </c>
      <c r="K56" s="31">
        <v>0</v>
      </c>
      <c r="L56" s="31">
        <v>105</v>
      </c>
      <c r="M56" s="31">
        <v>330</v>
      </c>
      <c r="N56" s="42">
        <v>401</v>
      </c>
      <c r="O56" s="42">
        <v>491</v>
      </c>
      <c r="P56" s="31">
        <f t="shared" si="26"/>
        <v>3884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4">
        <v>2011</v>
      </c>
      <c r="B57" s="41" t="s">
        <v>39</v>
      </c>
      <c r="C57" s="26" t="s">
        <v>314</v>
      </c>
      <c r="D57" s="31">
        <v>743</v>
      </c>
      <c r="E57" s="31">
        <v>693</v>
      </c>
      <c r="F57" s="31">
        <v>621</v>
      </c>
      <c r="G57" s="31">
        <v>422</v>
      </c>
      <c r="H57" s="31">
        <v>174</v>
      </c>
      <c r="I57" s="31">
        <v>25</v>
      </c>
      <c r="J57" s="31">
        <v>7</v>
      </c>
      <c r="K57" s="31">
        <v>36</v>
      </c>
      <c r="L57" s="31">
        <v>217</v>
      </c>
      <c r="M57" s="31">
        <v>398</v>
      </c>
      <c r="N57" s="31">
        <v>538</v>
      </c>
      <c r="O57" s="31">
        <v>681</v>
      </c>
      <c r="P57" s="31">
        <f t="shared" si="26"/>
        <v>4555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4">
        <v>2011</v>
      </c>
      <c r="B58" s="25" t="s">
        <v>42</v>
      </c>
      <c r="C58" s="30" t="s">
        <v>30</v>
      </c>
      <c r="D58" s="31">
        <f t="shared" ref="D58:O58" si="28">D55-D51*($Q$3)</f>
        <v>1337</v>
      </c>
      <c r="E58" s="31">
        <f t="shared" si="28"/>
        <v>1291</v>
      </c>
      <c r="F58" s="31">
        <f t="shared" si="28"/>
        <v>1105</v>
      </c>
      <c r="G58" s="31">
        <f t="shared" si="28"/>
        <v>640</v>
      </c>
      <c r="H58" s="31">
        <f t="shared" si="28"/>
        <v>446</v>
      </c>
      <c r="I58" s="31">
        <f t="shared" si="28"/>
        <v>8</v>
      </c>
      <c r="J58" s="31">
        <f t="shared" si="28"/>
        <v>-78</v>
      </c>
      <c r="K58" s="31">
        <f t="shared" si="28"/>
        <v>-55</v>
      </c>
      <c r="L58" s="31">
        <f t="shared" si="28"/>
        <v>280</v>
      </c>
      <c r="M58" s="31">
        <f t="shared" si="28"/>
        <v>567</v>
      </c>
      <c r="N58" s="31">
        <f t="shared" si="28"/>
        <v>844</v>
      </c>
      <c r="O58" s="31">
        <f t="shared" si="28"/>
        <v>1076</v>
      </c>
      <c r="P58" s="31">
        <f t="shared" si="26"/>
        <v>7461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4">
        <v>2011</v>
      </c>
      <c r="B59" s="25" t="s">
        <v>43</v>
      </c>
      <c r="C59" s="30" t="s">
        <v>30</v>
      </c>
      <c r="D59" s="31">
        <f t="shared" ref="D59:H59" si="29">IF(D58&lt;0,0,((D57/D56))*D58)</f>
        <v>1379.7097222222224</v>
      </c>
      <c r="E59" s="31">
        <f t="shared" si="29"/>
        <v>1121.1315789473686</v>
      </c>
      <c r="F59" s="31">
        <f t="shared" si="29"/>
        <v>1163.0593220338983</v>
      </c>
      <c r="G59" s="31">
        <f t="shared" si="29"/>
        <v>794.35294117647061</v>
      </c>
      <c r="H59" s="42">
        <f t="shared" si="29"/>
        <v>711.96330275229354</v>
      </c>
      <c r="I59" s="42">
        <f t="shared" ref="I59:K59" si="30">I58</f>
        <v>8</v>
      </c>
      <c r="J59" s="42">
        <f t="shared" si="30"/>
        <v>-78</v>
      </c>
      <c r="K59" s="42">
        <f t="shared" si="30"/>
        <v>-55</v>
      </c>
      <c r="L59" s="42">
        <f t="shared" ref="L59:O59" si="31">IF(L58&lt;0,0,((L57/L56))*L58)</f>
        <v>578.66666666666674</v>
      </c>
      <c r="M59" s="31">
        <f t="shared" si="31"/>
        <v>683.83636363636367</v>
      </c>
      <c r="N59" s="31">
        <f t="shared" si="31"/>
        <v>1132.3491271820449</v>
      </c>
      <c r="O59" s="31">
        <f t="shared" si="31"/>
        <v>1492.3747454175152</v>
      </c>
      <c r="P59" s="40">
        <f t="shared" si="26"/>
        <v>8932.4437700348444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12" t="s">
        <v>12</v>
      </c>
      <c r="B61" s="13"/>
      <c r="C61" s="14"/>
      <c r="D61" s="15" t="s">
        <v>13</v>
      </c>
      <c r="E61" s="15" t="s">
        <v>14</v>
      </c>
      <c r="F61" s="15" t="s">
        <v>15</v>
      </c>
      <c r="G61" s="15" t="s">
        <v>16</v>
      </c>
      <c r="H61" s="15" t="s">
        <v>17</v>
      </c>
      <c r="I61" s="15" t="s">
        <v>18</v>
      </c>
      <c r="J61" s="16" t="s">
        <v>19</v>
      </c>
      <c r="K61" s="15" t="s">
        <v>20</v>
      </c>
      <c r="L61" s="15" t="s">
        <v>21</v>
      </c>
      <c r="M61" s="15" t="s">
        <v>22</v>
      </c>
      <c r="N61" s="15" t="s">
        <v>23</v>
      </c>
      <c r="O61" s="15" t="s">
        <v>24</v>
      </c>
      <c r="P61" s="15" t="s">
        <v>25</v>
      </c>
      <c r="Q61" s="2"/>
      <c r="R61" s="92"/>
      <c r="S61" s="2"/>
      <c r="T61" s="2"/>
      <c r="U61" s="2"/>
      <c r="V61" s="2"/>
      <c r="W61" s="2"/>
      <c r="X61" s="2"/>
      <c r="Y61" s="2"/>
      <c r="Z61" s="2"/>
    </row>
    <row r="62" spans="1:26" ht="12.75" hidden="1" customHeight="1" x14ac:dyDescent="0.25">
      <c r="A62" s="12"/>
      <c r="B62" s="13"/>
      <c r="C62" s="14"/>
      <c r="D62" s="77">
        <v>31</v>
      </c>
      <c r="E62" s="77">
        <v>29</v>
      </c>
      <c r="F62" s="77">
        <v>31</v>
      </c>
      <c r="G62" s="77">
        <v>30</v>
      </c>
      <c r="H62" s="77">
        <v>31</v>
      </c>
      <c r="I62" s="77">
        <v>30</v>
      </c>
      <c r="J62" s="78">
        <v>31</v>
      </c>
      <c r="K62" s="77">
        <v>31</v>
      </c>
      <c r="L62" s="77">
        <v>30</v>
      </c>
      <c r="M62" s="77">
        <v>31</v>
      </c>
      <c r="N62" s="77">
        <v>30</v>
      </c>
      <c r="O62" s="77">
        <v>31</v>
      </c>
      <c r="P62" s="15">
        <f>SUM(D62:O62)</f>
        <v>366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4">
        <v>2012</v>
      </c>
      <c r="B63" s="25" t="s">
        <v>27</v>
      </c>
      <c r="C63" s="26" t="s">
        <v>315</v>
      </c>
      <c r="D63" s="27">
        <v>-6.1</v>
      </c>
      <c r="E63" s="27">
        <v>-8.9</v>
      </c>
      <c r="F63" s="27">
        <v>-0.4</v>
      </c>
      <c r="G63" s="27">
        <v>3</v>
      </c>
      <c r="H63" s="27">
        <v>10.9</v>
      </c>
      <c r="I63" s="27">
        <v>13</v>
      </c>
      <c r="J63" s="27">
        <v>17.399999999999999</v>
      </c>
      <c r="K63" s="27">
        <v>14.5</v>
      </c>
      <c r="L63" s="27">
        <v>10.7</v>
      </c>
      <c r="M63" s="27">
        <v>5.6</v>
      </c>
      <c r="N63" s="27">
        <v>2.2999999999999998</v>
      </c>
      <c r="O63" s="27">
        <v>-8.1</v>
      </c>
      <c r="P63" s="27">
        <f>AVERAGE(D63:O63)</f>
        <v>4.4916666666666663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4">
        <v>2012</v>
      </c>
      <c r="B64" s="25" t="s">
        <v>29</v>
      </c>
      <c r="C64" s="30" t="s">
        <v>30</v>
      </c>
      <c r="D64" s="31">
        <v>913</v>
      </c>
      <c r="E64" s="31">
        <v>862</v>
      </c>
      <c r="F64" s="31">
        <v>755</v>
      </c>
      <c r="G64" s="31">
        <v>536</v>
      </c>
      <c r="H64" s="31">
        <v>260</v>
      </c>
      <c r="I64" s="42">
        <v>147</v>
      </c>
      <c r="J64" s="42">
        <v>117</v>
      </c>
      <c r="K64" s="42">
        <v>146</v>
      </c>
      <c r="L64" s="31">
        <v>329</v>
      </c>
      <c r="M64" s="31">
        <v>600</v>
      </c>
      <c r="N64" s="31">
        <v>747</v>
      </c>
      <c r="O64" s="31">
        <v>995</v>
      </c>
      <c r="P64" s="31">
        <f t="shared" ref="P64:P70" si="32">SUM(D64:O64)</f>
        <v>6407</v>
      </c>
      <c r="Q64" s="2"/>
      <c r="R64" s="11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4">
        <v>2012</v>
      </c>
      <c r="B65" s="25" t="s">
        <v>31</v>
      </c>
      <c r="C65" s="30" t="s">
        <v>30</v>
      </c>
      <c r="D65" s="31">
        <v>597</v>
      </c>
      <c r="E65" s="31">
        <v>593</v>
      </c>
      <c r="F65" s="31">
        <v>555</v>
      </c>
      <c r="G65" s="31">
        <v>465</v>
      </c>
      <c r="H65" s="31">
        <v>305</v>
      </c>
      <c r="I65" s="42">
        <v>188</v>
      </c>
      <c r="J65" s="42">
        <v>196</v>
      </c>
      <c r="K65" s="42">
        <v>220</v>
      </c>
      <c r="L65" s="31">
        <v>266</v>
      </c>
      <c r="M65" s="31">
        <v>431</v>
      </c>
      <c r="N65" s="31">
        <v>479</v>
      </c>
      <c r="O65" s="31">
        <v>658</v>
      </c>
      <c r="P65" s="31">
        <f t="shared" si="32"/>
        <v>4953</v>
      </c>
      <c r="Q65" s="2"/>
      <c r="R65" s="11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4">
        <v>2012</v>
      </c>
      <c r="B66" s="25" t="s">
        <v>32</v>
      </c>
      <c r="C66" s="30" t="s">
        <v>30</v>
      </c>
      <c r="D66" s="31">
        <f t="shared" ref="D66:O66" si="33">SUM(D64:D65)</f>
        <v>1510</v>
      </c>
      <c r="E66" s="31">
        <f t="shared" si="33"/>
        <v>1455</v>
      </c>
      <c r="F66" s="31">
        <f t="shared" si="33"/>
        <v>1310</v>
      </c>
      <c r="G66" s="31">
        <f t="shared" si="33"/>
        <v>1001</v>
      </c>
      <c r="H66" s="31">
        <f t="shared" si="33"/>
        <v>565</v>
      </c>
      <c r="I66" s="31">
        <f t="shared" si="33"/>
        <v>335</v>
      </c>
      <c r="J66" s="42">
        <f t="shared" si="33"/>
        <v>313</v>
      </c>
      <c r="K66" s="31">
        <f t="shared" si="33"/>
        <v>366</v>
      </c>
      <c r="L66" s="31">
        <f t="shared" si="33"/>
        <v>595</v>
      </c>
      <c r="M66" s="31">
        <f t="shared" si="33"/>
        <v>1031</v>
      </c>
      <c r="N66" s="31">
        <f t="shared" si="33"/>
        <v>1226</v>
      </c>
      <c r="O66" s="31">
        <f t="shared" si="33"/>
        <v>1653</v>
      </c>
      <c r="P66" s="40">
        <f t="shared" si="32"/>
        <v>11360</v>
      </c>
      <c r="Q66" s="2"/>
      <c r="R66" s="11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4">
        <v>2012</v>
      </c>
      <c r="B67" s="41" t="s">
        <v>36</v>
      </c>
      <c r="C67" s="26" t="s">
        <v>316</v>
      </c>
      <c r="D67" s="31">
        <v>718</v>
      </c>
      <c r="E67" s="31">
        <f>(17--8.9)*29</f>
        <v>751.09999999999991</v>
      </c>
      <c r="F67" s="31">
        <f>(17+0.4)*31</f>
        <v>539.4</v>
      </c>
      <c r="G67" s="31">
        <f>(17-3)*30</f>
        <v>420</v>
      </c>
      <c r="H67" s="42">
        <v>135</v>
      </c>
      <c r="I67" s="31">
        <v>16</v>
      </c>
      <c r="J67" s="31">
        <v>0</v>
      </c>
      <c r="K67" s="31">
        <v>25</v>
      </c>
      <c r="L67" s="31">
        <v>155</v>
      </c>
      <c r="M67" s="31">
        <v>374</v>
      </c>
      <c r="N67" s="42">
        <v>447</v>
      </c>
      <c r="O67" s="42">
        <f>(17--8)*31</f>
        <v>775</v>
      </c>
      <c r="P67" s="31">
        <f t="shared" si="32"/>
        <v>4355.5</v>
      </c>
      <c r="Q67" s="2"/>
      <c r="R67" s="11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4">
        <v>2012</v>
      </c>
      <c r="B68" s="41" t="s">
        <v>39</v>
      </c>
      <c r="C68" s="26" t="s">
        <v>317</v>
      </c>
      <c r="D68" s="31">
        <v>743</v>
      </c>
      <c r="E68" s="31">
        <v>693</v>
      </c>
      <c r="F68" s="31">
        <v>621</v>
      </c>
      <c r="G68" s="31">
        <v>422</v>
      </c>
      <c r="H68" s="31">
        <v>174</v>
      </c>
      <c r="I68" s="31">
        <v>25</v>
      </c>
      <c r="J68" s="31">
        <v>7</v>
      </c>
      <c r="K68" s="31">
        <v>36</v>
      </c>
      <c r="L68" s="31">
        <v>217</v>
      </c>
      <c r="M68" s="31">
        <v>398</v>
      </c>
      <c r="N68" s="31">
        <v>538</v>
      </c>
      <c r="O68" s="31">
        <v>681</v>
      </c>
      <c r="P68" s="31">
        <f t="shared" si="32"/>
        <v>4555</v>
      </c>
      <c r="Q68" s="83"/>
      <c r="R68" s="11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4">
        <v>2012</v>
      </c>
      <c r="B69" s="25" t="s">
        <v>42</v>
      </c>
      <c r="C69" s="30" t="s">
        <v>30</v>
      </c>
      <c r="D69" s="31">
        <f t="shared" ref="D69:I69" si="34">D66-D62*($Q$3)</f>
        <v>1169</v>
      </c>
      <c r="E69" s="31">
        <f t="shared" si="34"/>
        <v>1136</v>
      </c>
      <c r="F69" s="31">
        <f t="shared" si="34"/>
        <v>969</v>
      </c>
      <c r="G69" s="31">
        <f t="shared" si="34"/>
        <v>671</v>
      </c>
      <c r="H69" s="31">
        <f t="shared" si="34"/>
        <v>224</v>
      </c>
      <c r="I69" s="31">
        <f t="shared" si="34"/>
        <v>5</v>
      </c>
      <c r="J69" s="31">
        <v>0</v>
      </c>
      <c r="K69" s="31">
        <f t="shared" ref="K69:O69" si="35">K66-K62*($Q$3)</f>
        <v>25</v>
      </c>
      <c r="L69" s="31">
        <f t="shared" si="35"/>
        <v>265</v>
      </c>
      <c r="M69" s="31">
        <f t="shared" si="35"/>
        <v>690</v>
      </c>
      <c r="N69" s="31">
        <f t="shared" si="35"/>
        <v>896</v>
      </c>
      <c r="O69" s="31">
        <f t="shared" si="35"/>
        <v>1312</v>
      </c>
      <c r="P69" s="31">
        <f t="shared" si="32"/>
        <v>7362</v>
      </c>
      <c r="Q69" s="83"/>
      <c r="R69" s="11"/>
      <c r="S69" s="11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4">
        <v>2012</v>
      </c>
      <c r="B70" s="25" t="s">
        <v>43</v>
      </c>
      <c r="C70" s="30" t="s">
        <v>30</v>
      </c>
      <c r="D70" s="31">
        <f t="shared" ref="D70:H70" si="36">IF(D69&lt;0,0,((D68/D67))*D69)</f>
        <v>1209.7033426183843</v>
      </c>
      <c r="E70" s="31">
        <f t="shared" si="36"/>
        <v>1048.1267474370925</v>
      </c>
      <c r="F70" s="31">
        <f t="shared" si="36"/>
        <v>1115.5895439377086</v>
      </c>
      <c r="G70" s="31">
        <f t="shared" si="36"/>
        <v>674.1952380952381</v>
      </c>
      <c r="H70" s="42">
        <f t="shared" si="36"/>
        <v>288.71111111111111</v>
      </c>
      <c r="I70" s="42">
        <f t="shared" ref="I70:K70" si="37">I69</f>
        <v>5</v>
      </c>
      <c r="J70" s="42">
        <f t="shared" si="37"/>
        <v>0</v>
      </c>
      <c r="K70" s="42">
        <f t="shared" si="37"/>
        <v>25</v>
      </c>
      <c r="L70" s="42">
        <f t="shared" ref="L70:O70" si="38">IF(L69&lt;0,0,((L68/L67))*L69)</f>
        <v>371</v>
      </c>
      <c r="M70" s="31">
        <f t="shared" si="38"/>
        <v>734.27807486631013</v>
      </c>
      <c r="N70" s="31">
        <f t="shared" si="38"/>
        <v>1078.407158836689</v>
      </c>
      <c r="O70" s="31">
        <f t="shared" si="38"/>
        <v>1152.8670967741934</v>
      </c>
      <c r="P70" s="40">
        <f t="shared" si="32"/>
        <v>7702.878313676727</v>
      </c>
      <c r="Q70" s="2"/>
      <c r="R70" s="11"/>
      <c r="S70" s="11"/>
      <c r="T70" s="11"/>
      <c r="U70" s="29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12" t="s">
        <v>12</v>
      </c>
      <c r="B72" s="13"/>
      <c r="C72" s="14"/>
      <c r="D72" s="15" t="s">
        <v>13</v>
      </c>
      <c r="E72" s="15" t="s">
        <v>14</v>
      </c>
      <c r="F72" s="15" t="s">
        <v>15</v>
      </c>
      <c r="G72" s="15" t="s">
        <v>16</v>
      </c>
      <c r="H72" s="15" t="s">
        <v>17</v>
      </c>
      <c r="I72" s="15" t="s">
        <v>18</v>
      </c>
      <c r="J72" s="16" t="s">
        <v>19</v>
      </c>
      <c r="K72" s="15" t="s">
        <v>20</v>
      </c>
      <c r="L72" s="15" t="s">
        <v>21</v>
      </c>
      <c r="M72" s="15" t="s">
        <v>22</v>
      </c>
      <c r="N72" s="15" t="s">
        <v>23</v>
      </c>
      <c r="O72" s="15" t="s">
        <v>24</v>
      </c>
      <c r="P72" s="15" t="s">
        <v>25</v>
      </c>
      <c r="Q72" s="2"/>
      <c r="R72" s="9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12"/>
      <c r="B73" s="13"/>
      <c r="C73" s="14"/>
      <c r="D73" s="77">
        <v>31</v>
      </c>
      <c r="E73" s="77">
        <v>28</v>
      </c>
      <c r="F73" s="77">
        <v>31</v>
      </c>
      <c r="G73" s="77">
        <v>30</v>
      </c>
      <c r="H73" s="77">
        <v>31</v>
      </c>
      <c r="I73" s="77">
        <v>30</v>
      </c>
      <c r="J73" s="78">
        <v>31</v>
      </c>
      <c r="K73" s="77">
        <v>31</v>
      </c>
      <c r="L73" s="77">
        <v>30</v>
      </c>
      <c r="M73" s="77">
        <v>31</v>
      </c>
      <c r="N73" s="77">
        <v>30</v>
      </c>
      <c r="O73" s="77">
        <v>31</v>
      </c>
      <c r="P73" s="15">
        <f>SUM(D73:O73)</f>
        <v>365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4">
        <v>2013</v>
      </c>
      <c r="B74" s="25" t="s">
        <v>27</v>
      </c>
      <c r="C74" s="26" t="s">
        <v>318</v>
      </c>
      <c r="D74" s="27">
        <v>-6.4</v>
      </c>
      <c r="E74" s="27">
        <v>-3.3</v>
      </c>
      <c r="F74" s="27">
        <v>-7.2</v>
      </c>
      <c r="G74" s="27">
        <v>1.9</v>
      </c>
      <c r="H74" s="27">
        <v>12.7</v>
      </c>
      <c r="I74" s="27">
        <v>16</v>
      </c>
      <c r="J74" s="27">
        <v>16</v>
      </c>
      <c r="K74" s="27">
        <v>16.8</v>
      </c>
      <c r="L74" s="27">
        <v>11</v>
      </c>
      <c r="M74" s="27">
        <v>6</v>
      </c>
      <c r="N74" s="27">
        <v>3.1</v>
      </c>
      <c r="O74" s="27">
        <v>0.7</v>
      </c>
      <c r="P74" s="27">
        <f>AVERAGE(D74:O74)</f>
        <v>5.6083333333333334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4">
        <v>2013</v>
      </c>
      <c r="B75" s="25" t="s">
        <v>29</v>
      </c>
      <c r="C75" s="30" t="s">
        <v>30</v>
      </c>
      <c r="D75" s="31">
        <v>938</v>
      </c>
      <c r="E75" s="31">
        <v>811</v>
      </c>
      <c r="F75" s="31">
        <v>778</v>
      </c>
      <c r="G75" s="31">
        <v>576</v>
      </c>
      <c r="H75" s="31">
        <v>192</v>
      </c>
      <c r="I75" s="42">
        <v>110</v>
      </c>
      <c r="J75" s="42">
        <v>89</v>
      </c>
      <c r="K75" s="31">
        <v>130</v>
      </c>
      <c r="L75" s="31">
        <v>239</v>
      </c>
      <c r="M75" s="31">
        <v>396</v>
      </c>
      <c r="N75" s="31">
        <v>541</v>
      </c>
      <c r="O75" s="31">
        <v>621</v>
      </c>
      <c r="P75" s="31">
        <f t="shared" ref="P75:P81" si="39">SUM(D75:O75)</f>
        <v>5421</v>
      </c>
      <c r="Q75" s="2"/>
      <c r="R75" s="11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4">
        <v>2013</v>
      </c>
      <c r="B76" s="25" t="s">
        <v>31</v>
      </c>
      <c r="C76" s="30" t="s">
        <v>30</v>
      </c>
      <c r="D76" s="31">
        <v>616</v>
      </c>
      <c r="E76" s="31">
        <v>530</v>
      </c>
      <c r="F76" s="31">
        <v>558</v>
      </c>
      <c r="G76" s="31">
        <v>499</v>
      </c>
      <c r="H76" s="31">
        <v>278</v>
      </c>
      <c r="I76" s="42">
        <v>179</v>
      </c>
      <c r="J76" s="42">
        <v>154</v>
      </c>
      <c r="K76" s="31">
        <v>208</v>
      </c>
      <c r="L76" s="31">
        <v>274</v>
      </c>
      <c r="M76" s="31">
        <v>369</v>
      </c>
      <c r="N76" s="31">
        <v>422</v>
      </c>
      <c r="O76" s="31">
        <v>470</v>
      </c>
      <c r="P76" s="31">
        <f t="shared" si="39"/>
        <v>4557</v>
      </c>
      <c r="Q76" s="2"/>
      <c r="R76" s="11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4">
        <v>2013</v>
      </c>
      <c r="B77" s="25" t="s">
        <v>32</v>
      </c>
      <c r="C77" s="30" t="s">
        <v>30</v>
      </c>
      <c r="D77" s="31">
        <f t="shared" ref="D77:O77" si="40">SUM(D75:D76)</f>
        <v>1554</v>
      </c>
      <c r="E77" s="31">
        <f t="shared" si="40"/>
        <v>1341</v>
      </c>
      <c r="F77" s="31">
        <f t="shared" si="40"/>
        <v>1336</v>
      </c>
      <c r="G77" s="31">
        <f t="shared" si="40"/>
        <v>1075</v>
      </c>
      <c r="H77" s="31">
        <f t="shared" si="40"/>
        <v>470</v>
      </c>
      <c r="I77" s="31">
        <f t="shared" si="40"/>
        <v>289</v>
      </c>
      <c r="J77" s="42">
        <f t="shared" si="40"/>
        <v>243</v>
      </c>
      <c r="K77" s="31">
        <f t="shared" si="40"/>
        <v>338</v>
      </c>
      <c r="L77" s="31">
        <f t="shared" si="40"/>
        <v>513</v>
      </c>
      <c r="M77" s="31">
        <f t="shared" si="40"/>
        <v>765</v>
      </c>
      <c r="N77" s="31">
        <f t="shared" si="40"/>
        <v>963</v>
      </c>
      <c r="O77" s="31">
        <f t="shared" si="40"/>
        <v>1091</v>
      </c>
      <c r="P77" s="40">
        <f t="shared" si="39"/>
        <v>9978</v>
      </c>
      <c r="Q77" s="2"/>
      <c r="R77" s="93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4">
        <v>2013</v>
      </c>
      <c r="B78" s="41" t="s">
        <v>36</v>
      </c>
      <c r="C78" s="26" t="s">
        <v>319</v>
      </c>
      <c r="D78" s="31">
        <v>725</v>
      </c>
      <c r="E78" s="31">
        <f>(17--3)*28</f>
        <v>560</v>
      </c>
      <c r="F78" s="31">
        <v>760</v>
      </c>
      <c r="G78" s="31">
        <f>(17-2)*30</f>
        <v>450</v>
      </c>
      <c r="H78" s="42">
        <f>(17-13)*31</f>
        <v>124</v>
      </c>
      <c r="I78" s="31">
        <v>0</v>
      </c>
      <c r="J78" s="31">
        <v>0</v>
      </c>
      <c r="K78" s="31">
        <v>0</v>
      </c>
      <c r="L78" s="31">
        <v>121</v>
      </c>
      <c r="M78" s="31">
        <f>(17-6)*31</f>
        <v>341</v>
      </c>
      <c r="N78" s="31">
        <f>(17-3)*30</f>
        <v>420</v>
      </c>
      <c r="O78" s="42">
        <f>(17-1)*31</f>
        <v>496</v>
      </c>
      <c r="P78" s="31">
        <f t="shared" si="39"/>
        <v>3997</v>
      </c>
      <c r="Q78" s="2"/>
      <c r="R78" s="11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4">
        <v>2013</v>
      </c>
      <c r="B79" s="41" t="s">
        <v>39</v>
      </c>
      <c r="C79" s="26" t="s">
        <v>320</v>
      </c>
      <c r="D79" s="31">
        <v>743</v>
      </c>
      <c r="E79" s="31">
        <v>693</v>
      </c>
      <c r="F79" s="31">
        <v>621</v>
      </c>
      <c r="G79" s="31">
        <v>422</v>
      </c>
      <c r="H79" s="31">
        <v>174</v>
      </c>
      <c r="I79" s="31">
        <v>25</v>
      </c>
      <c r="J79" s="31">
        <v>7</v>
      </c>
      <c r="K79" s="31">
        <v>36</v>
      </c>
      <c r="L79" s="31">
        <v>217</v>
      </c>
      <c r="M79" s="31">
        <v>398</v>
      </c>
      <c r="N79" s="31">
        <v>538</v>
      </c>
      <c r="O79" s="31">
        <v>681</v>
      </c>
      <c r="P79" s="31">
        <f t="shared" si="39"/>
        <v>4555</v>
      </c>
      <c r="Q79" s="83"/>
      <c r="R79" s="11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4">
        <v>2013</v>
      </c>
      <c r="B80" s="25" t="s">
        <v>42</v>
      </c>
      <c r="C80" s="30" t="s">
        <v>30</v>
      </c>
      <c r="D80" s="31">
        <f t="shared" ref="D80:O80" si="41">D77-D73*($Q$4)</f>
        <v>1244</v>
      </c>
      <c r="E80" s="31">
        <f t="shared" si="41"/>
        <v>1061</v>
      </c>
      <c r="F80" s="31">
        <f t="shared" si="41"/>
        <v>1026</v>
      </c>
      <c r="G80" s="31">
        <f t="shared" si="41"/>
        <v>775</v>
      </c>
      <c r="H80" s="31">
        <f t="shared" si="41"/>
        <v>160</v>
      </c>
      <c r="I80" s="31">
        <f t="shared" si="41"/>
        <v>-11</v>
      </c>
      <c r="J80" s="31">
        <f t="shared" si="41"/>
        <v>-67</v>
      </c>
      <c r="K80" s="31">
        <f t="shared" si="41"/>
        <v>28</v>
      </c>
      <c r="L80" s="31">
        <f t="shared" si="41"/>
        <v>213</v>
      </c>
      <c r="M80" s="31">
        <f t="shared" si="41"/>
        <v>455</v>
      </c>
      <c r="N80" s="31">
        <f t="shared" si="41"/>
        <v>663</v>
      </c>
      <c r="O80" s="31">
        <f t="shared" si="41"/>
        <v>781</v>
      </c>
      <c r="P80" s="31">
        <f t="shared" si="39"/>
        <v>6328</v>
      </c>
      <c r="Q80" s="83"/>
      <c r="R80" s="11"/>
      <c r="S80" s="11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4">
        <v>2013</v>
      </c>
      <c r="B81" s="25" t="s">
        <v>43</v>
      </c>
      <c r="C81" s="30" t="s">
        <v>30</v>
      </c>
      <c r="D81" s="31">
        <f t="shared" ref="D81:H81" si="42">IF(D80&lt;0,0,((D79/D78))*D80)</f>
        <v>1274.8855172413791</v>
      </c>
      <c r="E81" s="31">
        <f t="shared" si="42"/>
        <v>1312.9875</v>
      </c>
      <c r="F81" s="31">
        <f t="shared" si="42"/>
        <v>838.35</v>
      </c>
      <c r="G81" s="31">
        <f t="shared" si="42"/>
        <v>726.77777777777783</v>
      </c>
      <c r="H81" s="42">
        <f t="shared" si="42"/>
        <v>224.51612903225808</v>
      </c>
      <c r="I81" s="42">
        <f t="shared" ref="I81:L81" si="43">I80</f>
        <v>-11</v>
      </c>
      <c r="J81" s="42">
        <f t="shared" si="43"/>
        <v>-67</v>
      </c>
      <c r="K81" s="42">
        <f t="shared" si="43"/>
        <v>28</v>
      </c>
      <c r="L81" s="42">
        <f t="shared" si="43"/>
        <v>213</v>
      </c>
      <c r="M81" s="31">
        <f t="shared" ref="M81:O81" si="44">IF(M80&lt;0,0,((M79/M78))*M80)</f>
        <v>531.05571847507338</v>
      </c>
      <c r="N81" s="31">
        <f t="shared" si="44"/>
        <v>849.27142857142849</v>
      </c>
      <c r="O81" s="31">
        <f t="shared" si="44"/>
        <v>1072.3004032258066</v>
      </c>
      <c r="P81" s="40">
        <f t="shared" si="39"/>
        <v>6993.1444743237234</v>
      </c>
      <c r="Q81" s="2"/>
      <c r="R81" s="11"/>
      <c r="S81" s="11"/>
      <c r="T81" s="11"/>
      <c r="U81" s="29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12" t="s">
        <v>12</v>
      </c>
      <c r="B83" s="13"/>
      <c r="C83" s="14"/>
      <c r="D83" s="15" t="s">
        <v>13</v>
      </c>
      <c r="E83" s="15" t="s">
        <v>14</v>
      </c>
      <c r="F83" s="15" t="s">
        <v>15</v>
      </c>
      <c r="G83" s="15" t="s">
        <v>16</v>
      </c>
      <c r="H83" s="15" t="s">
        <v>17</v>
      </c>
      <c r="I83" s="15" t="s">
        <v>18</v>
      </c>
      <c r="J83" s="16" t="s">
        <v>19</v>
      </c>
      <c r="K83" s="15" t="s">
        <v>20</v>
      </c>
      <c r="L83" s="15" t="s">
        <v>21</v>
      </c>
      <c r="M83" s="15" t="s">
        <v>22</v>
      </c>
      <c r="N83" s="15" t="s">
        <v>23</v>
      </c>
      <c r="O83" s="15" t="s">
        <v>24</v>
      </c>
      <c r="P83" s="15" t="s">
        <v>25</v>
      </c>
      <c r="Q83" s="2"/>
      <c r="R83" s="9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12"/>
      <c r="B84" s="13"/>
      <c r="C84" s="14"/>
      <c r="D84" s="77">
        <v>31</v>
      </c>
      <c r="E84" s="77">
        <v>28</v>
      </c>
      <c r="F84" s="77">
        <v>31</v>
      </c>
      <c r="G84" s="77">
        <v>30</v>
      </c>
      <c r="H84" s="77">
        <v>31</v>
      </c>
      <c r="I84" s="77">
        <v>30</v>
      </c>
      <c r="J84" s="78">
        <v>31</v>
      </c>
      <c r="K84" s="77">
        <v>31</v>
      </c>
      <c r="L84" s="77">
        <v>30</v>
      </c>
      <c r="M84" s="77">
        <v>31</v>
      </c>
      <c r="N84" s="77">
        <v>30</v>
      </c>
      <c r="O84" s="77">
        <v>31</v>
      </c>
      <c r="P84" s="15">
        <f>SUM(D84:O84)</f>
        <v>365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4">
        <v>2014</v>
      </c>
      <c r="B85" s="25" t="s">
        <v>27</v>
      </c>
      <c r="C85" s="26" t="s">
        <v>321</v>
      </c>
      <c r="D85" s="27">
        <v>-9.08</v>
      </c>
      <c r="E85" s="27">
        <v>-0.37</v>
      </c>
      <c r="F85" s="27">
        <v>1.07</v>
      </c>
      <c r="G85" s="27">
        <v>5.57</v>
      </c>
      <c r="H85" s="27">
        <v>11.58</v>
      </c>
      <c r="I85" s="27">
        <v>14.34</v>
      </c>
      <c r="J85" s="27">
        <v>16.8</v>
      </c>
      <c r="K85" s="27">
        <v>17.100000000000001</v>
      </c>
      <c r="L85" s="27">
        <v>11.1</v>
      </c>
      <c r="M85" s="27">
        <v>5.2</v>
      </c>
      <c r="N85" s="27">
        <v>1.9</v>
      </c>
      <c r="O85" s="27">
        <v>-2.1</v>
      </c>
      <c r="P85" s="27">
        <f>AVERAGE(D85:O85)</f>
        <v>6.0925000000000011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4">
        <v>2014</v>
      </c>
      <c r="B86" s="25" t="s">
        <v>29</v>
      </c>
      <c r="C86" s="30" t="s">
        <v>30</v>
      </c>
      <c r="D86" s="31">
        <v>775</v>
      </c>
      <c r="E86" s="31">
        <v>712</v>
      </c>
      <c r="F86" s="31">
        <v>669</v>
      </c>
      <c r="G86" s="31">
        <v>448</v>
      </c>
      <c r="H86" s="31">
        <v>287</v>
      </c>
      <c r="I86" s="42">
        <f>156/28*30</f>
        <v>167.14285714285714</v>
      </c>
      <c r="J86" s="42">
        <f>109/35*31</f>
        <v>96.542857142857144</v>
      </c>
      <c r="K86" s="31">
        <f>108/27*31</f>
        <v>124</v>
      </c>
      <c r="L86" s="31">
        <v>205</v>
      </c>
      <c r="M86" s="31">
        <v>486</v>
      </c>
      <c r="N86" s="31">
        <v>625</v>
      </c>
      <c r="O86" s="31">
        <v>728</v>
      </c>
      <c r="P86" s="31">
        <f t="shared" ref="P86:P92" si="45">SUM(D86:O86)</f>
        <v>5322.6857142857143</v>
      </c>
      <c r="Q86" s="2"/>
      <c r="R86" s="11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4">
        <v>2014</v>
      </c>
      <c r="B87" s="25" t="s">
        <v>31</v>
      </c>
      <c r="C87" s="30" t="s">
        <v>30</v>
      </c>
      <c r="D87" s="31">
        <v>560</v>
      </c>
      <c r="E87" s="31">
        <v>496</v>
      </c>
      <c r="F87" s="31">
        <v>515</v>
      </c>
      <c r="G87" s="31">
        <v>422</v>
      </c>
      <c r="H87" s="31">
        <v>309</v>
      </c>
      <c r="I87" s="42">
        <v>232</v>
      </c>
      <c r="J87" s="42">
        <f>189/35*31</f>
        <v>167.4</v>
      </c>
      <c r="K87" s="31">
        <f>168/27*31</f>
        <v>192.88888888888889</v>
      </c>
      <c r="L87" s="31">
        <v>244</v>
      </c>
      <c r="M87" s="31">
        <v>396</v>
      </c>
      <c r="N87" s="31">
        <v>466</v>
      </c>
      <c r="O87" s="31">
        <v>537</v>
      </c>
      <c r="P87" s="31">
        <f t="shared" si="45"/>
        <v>4537.2888888888883</v>
      </c>
      <c r="Q87" s="2"/>
      <c r="R87" s="11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4">
        <v>2014</v>
      </c>
      <c r="B88" s="25" t="s">
        <v>32</v>
      </c>
      <c r="C88" s="30" t="s">
        <v>30</v>
      </c>
      <c r="D88" s="31">
        <f t="shared" ref="D88:O88" si="46">SUM(D86:D87)</f>
        <v>1335</v>
      </c>
      <c r="E88" s="31">
        <f t="shared" si="46"/>
        <v>1208</v>
      </c>
      <c r="F88" s="31">
        <f t="shared" si="46"/>
        <v>1184</v>
      </c>
      <c r="G88" s="31">
        <f t="shared" si="46"/>
        <v>870</v>
      </c>
      <c r="H88" s="31">
        <f t="shared" si="46"/>
        <v>596</v>
      </c>
      <c r="I88" s="31">
        <f t="shared" si="46"/>
        <v>399.14285714285711</v>
      </c>
      <c r="J88" s="31">
        <f t="shared" si="46"/>
        <v>263.94285714285718</v>
      </c>
      <c r="K88" s="31">
        <f t="shared" si="46"/>
        <v>316.88888888888891</v>
      </c>
      <c r="L88" s="31">
        <f t="shared" si="46"/>
        <v>449</v>
      </c>
      <c r="M88" s="31">
        <f t="shared" si="46"/>
        <v>882</v>
      </c>
      <c r="N88" s="31">
        <f t="shared" si="46"/>
        <v>1091</v>
      </c>
      <c r="O88" s="31">
        <f t="shared" si="46"/>
        <v>1265</v>
      </c>
      <c r="P88" s="40">
        <f t="shared" si="45"/>
        <v>9859.9746031746035</v>
      </c>
      <c r="Q88" s="2"/>
      <c r="R88" s="93"/>
      <c r="S88" s="2"/>
      <c r="T88" s="11"/>
      <c r="U88" s="2"/>
      <c r="V88" s="2"/>
      <c r="W88" s="2"/>
      <c r="X88" s="2"/>
      <c r="Y88" s="2"/>
      <c r="Z88" s="2"/>
    </row>
    <row r="89" spans="1:26" ht="12.75" customHeight="1" x14ac:dyDescent="0.25">
      <c r="A89" s="24">
        <v>2014</v>
      </c>
      <c r="B89" s="41" t="s">
        <v>36</v>
      </c>
      <c r="C89" s="26" t="s">
        <v>322</v>
      </c>
      <c r="D89" s="31">
        <v>788</v>
      </c>
      <c r="E89" s="31">
        <v>485</v>
      </c>
      <c r="F89" s="31">
        <v>496</v>
      </c>
      <c r="G89" s="31">
        <v>360</v>
      </c>
      <c r="H89" s="42">
        <v>190</v>
      </c>
      <c r="I89" s="31">
        <v>125</v>
      </c>
      <c r="J89" s="31">
        <v>4</v>
      </c>
      <c r="K89" s="31">
        <v>5</v>
      </c>
      <c r="L89" s="31">
        <f>(17-11)*30</f>
        <v>180</v>
      </c>
      <c r="M89" s="31">
        <f>(17-5)*31</f>
        <v>372</v>
      </c>
      <c r="N89" s="31">
        <f>(17-2)*30</f>
        <v>450</v>
      </c>
      <c r="O89" s="42">
        <f>(17--2)*31</f>
        <v>589</v>
      </c>
      <c r="P89" s="31">
        <f t="shared" si="45"/>
        <v>4044</v>
      </c>
      <c r="Q89" s="2"/>
      <c r="R89" s="11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4">
        <v>2014</v>
      </c>
      <c r="B90" s="41" t="s">
        <v>39</v>
      </c>
      <c r="C90" s="26" t="s">
        <v>323</v>
      </c>
      <c r="D90" s="31">
        <v>712</v>
      </c>
      <c r="E90" s="31">
        <v>664</v>
      </c>
      <c r="F90" s="31">
        <v>598</v>
      </c>
      <c r="G90" s="31">
        <v>387</v>
      </c>
      <c r="H90" s="31">
        <v>156</v>
      </c>
      <c r="I90" s="31">
        <v>20</v>
      </c>
      <c r="J90" s="31">
        <v>4</v>
      </c>
      <c r="K90" s="31">
        <v>30</v>
      </c>
      <c r="L90" s="31">
        <v>187</v>
      </c>
      <c r="M90" s="31">
        <v>375</v>
      </c>
      <c r="N90" s="31">
        <v>518</v>
      </c>
      <c r="O90" s="31">
        <v>655</v>
      </c>
      <c r="P90" s="31">
        <f t="shared" si="45"/>
        <v>4306</v>
      </c>
      <c r="Q90" s="83"/>
      <c r="R90" s="11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4">
        <v>2014</v>
      </c>
      <c r="B91" s="25" t="s">
        <v>42</v>
      </c>
      <c r="C91" s="30" t="s">
        <v>30</v>
      </c>
      <c r="D91" s="31">
        <f t="shared" ref="D91:O91" si="47">D88-D84*($Q$4)</f>
        <v>1025</v>
      </c>
      <c r="E91" s="31">
        <f t="shared" si="47"/>
        <v>928</v>
      </c>
      <c r="F91" s="31">
        <f t="shared" si="47"/>
        <v>874</v>
      </c>
      <c r="G91" s="31">
        <f t="shared" si="47"/>
        <v>570</v>
      </c>
      <c r="H91" s="31">
        <f t="shared" si="47"/>
        <v>286</v>
      </c>
      <c r="I91" s="31">
        <f t="shared" si="47"/>
        <v>99.14285714285711</v>
      </c>
      <c r="J91" s="31">
        <f t="shared" si="47"/>
        <v>-46.057142857142821</v>
      </c>
      <c r="K91" s="31">
        <f t="shared" si="47"/>
        <v>6.8888888888889142</v>
      </c>
      <c r="L91" s="31">
        <f t="shared" si="47"/>
        <v>149</v>
      </c>
      <c r="M91" s="31">
        <f t="shared" si="47"/>
        <v>572</v>
      </c>
      <c r="N91" s="31">
        <f t="shared" si="47"/>
        <v>791</v>
      </c>
      <c r="O91" s="31">
        <f t="shared" si="47"/>
        <v>955</v>
      </c>
      <c r="P91" s="31">
        <f t="shared" si="45"/>
        <v>6209.9746031746026</v>
      </c>
      <c r="Q91" s="83"/>
      <c r="R91" s="11"/>
      <c r="S91" s="11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4">
        <v>2014</v>
      </c>
      <c r="B92" s="25" t="s">
        <v>43</v>
      </c>
      <c r="C92" s="30" t="s">
        <v>30</v>
      </c>
      <c r="D92" s="31">
        <f t="shared" ref="D92:O92" si="48">IF(D91&lt;0,0,((D90/D89))*D91)</f>
        <v>926.14213197969548</v>
      </c>
      <c r="E92" s="31">
        <f t="shared" si="48"/>
        <v>1270.498969072165</v>
      </c>
      <c r="F92" s="31">
        <f t="shared" si="48"/>
        <v>1053.733870967742</v>
      </c>
      <c r="G92" s="31">
        <f t="shared" si="48"/>
        <v>612.75</v>
      </c>
      <c r="H92" s="31">
        <f t="shared" si="48"/>
        <v>234.82105263157894</v>
      </c>
      <c r="I92" s="31">
        <f t="shared" si="48"/>
        <v>15.862857142857138</v>
      </c>
      <c r="J92" s="31">
        <f t="shared" si="48"/>
        <v>0</v>
      </c>
      <c r="K92" s="31">
        <f t="shared" si="48"/>
        <v>41.333333333333485</v>
      </c>
      <c r="L92" s="31">
        <f t="shared" si="48"/>
        <v>154.79444444444445</v>
      </c>
      <c r="M92" s="31">
        <f t="shared" si="48"/>
        <v>576.61290322580646</v>
      </c>
      <c r="N92" s="31">
        <f t="shared" si="48"/>
        <v>910.5288888888889</v>
      </c>
      <c r="O92" s="31">
        <f t="shared" si="48"/>
        <v>1062.0118845500849</v>
      </c>
      <c r="P92" s="40">
        <f t="shared" si="45"/>
        <v>6859.090336236598</v>
      </c>
      <c r="Q92" s="2"/>
      <c r="R92" s="11"/>
      <c r="S92" s="11"/>
      <c r="T92" s="11"/>
      <c r="U92" s="29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1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12" t="s">
        <v>12</v>
      </c>
      <c r="B94" s="13"/>
      <c r="C94" s="14"/>
      <c r="D94" s="15" t="s">
        <v>13</v>
      </c>
      <c r="E94" s="15" t="s">
        <v>14</v>
      </c>
      <c r="F94" s="15" t="s">
        <v>15</v>
      </c>
      <c r="G94" s="15" t="s">
        <v>16</v>
      </c>
      <c r="H94" s="15" t="s">
        <v>17</v>
      </c>
      <c r="I94" s="15" t="s">
        <v>18</v>
      </c>
      <c r="J94" s="16" t="s">
        <v>19</v>
      </c>
      <c r="K94" s="15" t="s">
        <v>20</v>
      </c>
      <c r="L94" s="15" t="s">
        <v>21</v>
      </c>
      <c r="M94" s="15" t="s">
        <v>22</v>
      </c>
      <c r="N94" s="15" t="s">
        <v>23</v>
      </c>
      <c r="O94" s="15" t="s">
        <v>24</v>
      </c>
      <c r="P94" s="15" t="s">
        <v>25</v>
      </c>
      <c r="Q94" s="2"/>
      <c r="R94" s="11"/>
      <c r="S94" s="2"/>
      <c r="T94" s="2"/>
      <c r="U94" s="2"/>
      <c r="V94" s="2"/>
      <c r="W94" s="2"/>
      <c r="X94" s="2"/>
      <c r="Y94" s="2"/>
      <c r="Z94" s="2"/>
    </row>
    <row r="95" spans="1:26" ht="9.75" hidden="1" customHeight="1" x14ac:dyDescent="0.25">
      <c r="A95" s="12"/>
      <c r="B95" s="13"/>
      <c r="C95" s="14"/>
      <c r="D95" s="77">
        <v>31</v>
      </c>
      <c r="E95" s="77">
        <v>28</v>
      </c>
      <c r="F95" s="77">
        <v>31</v>
      </c>
      <c r="G95" s="77">
        <v>30</v>
      </c>
      <c r="H95" s="77">
        <v>31</v>
      </c>
      <c r="I95" s="77">
        <v>30</v>
      </c>
      <c r="J95" s="78">
        <v>31</v>
      </c>
      <c r="K95" s="77">
        <v>31</v>
      </c>
      <c r="L95" s="77">
        <v>30</v>
      </c>
      <c r="M95" s="77">
        <v>31</v>
      </c>
      <c r="N95" s="77">
        <v>30</v>
      </c>
      <c r="O95" s="77">
        <v>31</v>
      </c>
      <c r="P95" s="15">
        <f>SUM(D95:O95)</f>
        <v>365</v>
      </c>
      <c r="Q95" s="2"/>
      <c r="R95" s="11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4">
        <v>2015</v>
      </c>
      <c r="B96" s="25" t="s">
        <v>27</v>
      </c>
      <c r="C96" s="26" t="s">
        <v>324</v>
      </c>
      <c r="D96" s="27">
        <v>-3.02</v>
      </c>
      <c r="E96" s="27">
        <v>-0.7</v>
      </c>
      <c r="F96" s="27">
        <v>1.0900000000000001</v>
      </c>
      <c r="G96" s="27">
        <v>5</v>
      </c>
      <c r="H96" s="27">
        <v>9.1</v>
      </c>
      <c r="I96" s="27">
        <v>14.1</v>
      </c>
      <c r="J96" s="27">
        <v>15.3</v>
      </c>
      <c r="K96" s="27">
        <v>15.7</v>
      </c>
      <c r="L96" s="27">
        <v>11.42</v>
      </c>
      <c r="M96" s="27">
        <v>3.76</v>
      </c>
      <c r="N96" s="27">
        <v>3.8</v>
      </c>
      <c r="O96" s="27">
        <v>1.6</v>
      </c>
      <c r="P96" s="27">
        <f>AVERAGE(D96:O96)</f>
        <v>6.4291666666666671</v>
      </c>
      <c r="Q96" s="2"/>
      <c r="R96" s="11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4">
        <v>2015</v>
      </c>
      <c r="B97" s="25" t="s">
        <v>29</v>
      </c>
      <c r="C97" s="30" t="s">
        <v>30</v>
      </c>
      <c r="D97" s="31">
        <v>808</v>
      </c>
      <c r="E97" s="31">
        <v>632</v>
      </c>
      <c r="F97" s="31">
        <v>659</v>
      </c>
      <c r="G97" s="31">
        <v>476</v>
      </c>
      <c r="H97" s="31">
        <v>305</v>
      </c>
      <c r="I97" s="42">
        <v>163</v>
      </c>
      <c r="J97" s="42">
        <v>112</v>
      </c>
      <c r="K97" s="31">
        <v>105</v>
      </c>
      <c r="L97" s="31">
        <v>200</v>
      </c>
      <c r="M97" s="31">
        <v>434</v>
      </c>
      <c r="N97" s="31">
        <v>548</v>
      </c>
      <c r="O97" s="31">
        <v>629</v>
      </c>
      <c r="P97" s="31">
        <f t="shared" ref="P97:P103" si="49">SUM(D97:O97)</f>
        <v>5071</v>
      </c>
      <c r="Q97" s="2"/>
      <c r="R97" s="11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4">
        <v>2015</v>
      </c>
      <c r="B98" s="25" t="s">
        <v>31</v>
      </c>
      <c r="C98" s="30" t="s">
        <v>30</v>
      </c>
      <c r="D98" s="31">
        <v>586</v>
      </c>
      <c r="E98" s="31">
        <v>465</v>
      </c>
      <c r="F98" s="31">
        <v>516</v>
      </c>
      <c r="G98" s="31">
        <v>413</v>
      </c>
      <c r="H98" s="31">
        <v>336</v>
      </c>
      <c r="I98" s="42">
        <v>226</v>
      </c>
      <c r="J98" s="42">
        <v>166</v>
      </c>
      <c r="K98" s="31">
        <v>177</v>
      </c>
      <c r="L98" s="31">
        <v>242</v>
      </c>
      <c r="M98" s="31">
        <v>401</v>
      </c>
      <c r="N98" s="31">
        <v>420</v>
      </c>
      <c r="O98" s="31">
        <v>489</v>
      </c>
      <c r="P98" s="31">
        <f t="shared" si="49"/>
        <v>4437</v>
      </c>
      <c r="Q98" s="2"/>
      <c r="R98" s="11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4">
        <v>2015</v>
      </c>
      <c r="B99" s="25" t="s">
        <v>32</v>
      </c>
      <c r="C99" s="30" t="s">
        <v>30</v>
      </c>
      <c r="D99" s="31">
        <f t="shared" ref="D99:O99" si="50">SUM(D97:D98)</f>
        <v>1394</v>
      </c>
      <c r="E99" s="31">
        <f t="shared" si="50"/>
        <v>1097</v>
      </c>
      <c r="F99" s="31">
        <f t="shared" si="50"/>
        <v>1175</v>
      </c>
      <c r="G99" s="31">
        <f t="shared" si="50"/>
        <v>889</v>
      </c>
      <c r="H99" s="31">
        <f t="shared" si="50"/>
        <v>641</v>
      </c>
      <c r="I99" s="31">
        <f t="shared" si="50"/>
        <v>389</v>
      </c>
      <c r="J99" s="31">
        <f t="shared" si="50"/>
        <v>278</v>
      </c>
      <c r="K99" s="31">
        <f t="shared" si="50"/>
        <v>282</v>
      </c>
      <c r="L99" s="31">
        <f t="shared" si="50"/>
        <v>442</v>
      </c>
      <c r="M99" s="31">
        <f t="shared" si="50"/>
        <v>835</v>
      </c>
      <c r="N99" s="31">
        <f t="shared" si="50"/>
        <v>968</v>
      </c>
      <c r="O99" s="31">
        <f t="shared" si="50"/>
        <v>1118</v>
      </c>
      <c r="P99" s="40">
        <f t="shared" si="49"/>
        <v>9508</v>
      </c>
      <c r="Q99" s="2"/>
      <c r="R99" s="11"/>
      <c r="S99" s="2"/>
      <c r="T99" s="11"/>
      <c r="U99" s="2"/>
      <c r="V99" s="2"/>
      <c r="W99" s="2"/>
      <c r="X99" s="2"/>
      <c r="Y99" s="2"/>
      <c r="Z99" s="2"/>
    </row>
    <row r="100" spans="1:26" ht="12.75" customHeight="1" x14ac:dyDescent="0.25">
      <c r="A100" s="24">
        <v>2015</v>
      </c>
      <c r="B100" s="41" t="s">
        <v>36</v>
      </c>
      <c r="C100" s="26" t="s">
        <v>325</v>
      </c>
      <c r="D100" s="31">
        <v>627</v>
      </c>
      <c r="E100" s="31">
        <f>(17--0.7)*28</f>
        <v>495.59999999999997</v>
      </c>
      <c r="F100" s="31">
        <f>(17-1)*31</f>
        <v>496</v>
      </c>
      <c r="G100" s="31">
        <f>(17-5)*30</f>
        <v>360</v>
      </c>
      <c r="H100" s="42">
        <v>184</v>
      </c>
      <c r="I100" s="31">
        <v>15</v>
      </c>
      <c r="J100" s="31">
        <v>10</v>
      </c>
      <c r="K100" s="31">
        <v>30</v>
      </c>
      <c r="L100" s="31">
        <f>(17-11.5)*30</f>
        <v>165</v>
      </c>
      <c r="M100" s="31">
        <v>404</v>
      </c>
      <c r="N100" s="31">
        <v>393</v>
      </c>
      <c r="O100" s="42">
        <v>490</v>
      </c>
      <c r="P100" s="31">
        <f t="shared" si="49"/>
        <v>3669.6</v>
      </c>
      <c r="Q100" s="2"/>
      <c r="R100" s="11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4">
        <v>2015</v>
      </c>
      <c r="B101" s="41" t="s">
        <v>39</v>
      </c>
      <c r="C101" s="26" t="s">
        <v>326</v>
      </c>
      <c r="D101" s="31">
        <v>712</v>
      </c>
      <c r="E101" s="31">
        <v>664</v>
      </c>
      <c r="F101" s="31">
        <v>598</v>
      </c>
      <c r="G101" s="31">
        <v>387</v>
      </c>
      <c r="H101" s="31">
        <v>156</v>
      </c>
      <c r="I101" s="31">
        <v>20</v>
      </c>
      <c r="J101" s="31">
        <v>4</v>
      </c>
      <c r="K101" s="31">
        <v>30</v>
      </c>
      <c r="L101" s="31">
        <v>187</v>
      </c>
      <c r="M101" s="31">
        <v>375</v>
      </c>
      <c r="N101" s="31">
        <v>518</v>
      </c>
      <c r="O101" s="31">
        <v>655</v>
      </c>
      <c r="P101" s="31">
        <f t="shared" si="49"/>
        <v>4306</v>
      </c>
      <c r="Q101" s="83"/>
      <c r="R101" s="11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4">
        <v>2015</v>
      </c>
      <c r="B102" s="25" t="s">
        <v>42</v>
      </c>
      <c r="C102" s="30" t="s">
        <v>30</v>
      </c>
      <c r="D102" s="31">
        <f t="shared" ref="D102:O102" si="51">D99-D95*($Q$4)</f>
        <v>1084</v>
      </c>
      <c r="E102" s="31">
        <f t="shared" si="51"/>
        <v>817</v>
      </c>
      <c r="F102" s="31">
        <f t="shared" si="51"/>
        <v>865</v>
      </c>
      <c r="G102" s="31">
        <f t="shared" si="51"/>
        <v>589</v>
      </c>
      <c r="H102" s="31">
        <f t="shared" si="51"/>
        <v>331</v>
      </c>
      <c r="I102" s="31">
        <f t="shared" si="51"/>
        <v>89</v>
      </c>
      <c r="J102" s="31">
        <f t="shared" si="51"/>
        <v>-32</v>
      </c>
      <c r="K102" s="31">
        <f t="shared" si="51"/>
        <v>-28</v>
      </c>
      <c r="L102" s="31">
        <f t="shared" si="51"/>
        <v>142</v>
      </c>
      <c r="M102" s="31">
        <f t="shared" si="51"/>
        <v>525</v>
      </c>
      <c r="N102" s="31">
        <f t="shared" si="51"/>
        <v>668</v>
      </c>
      <c r="O102" s="31">
        <f t="shared" si="51"/>
        <v>808</v>
      </c>
      <c r="P102" s="31">
        <f t="shared" si="49"/>
        <v>5858</v>
      </c>
      <c r="Q102" s="83"/>
      <c r="R102" s="11"/>
      <c r="S102" s="11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4">
        <v>2015</v>
      </c>
      <c r="B103" s="25" t="s">
        <v>43</v>
      </c>
      <c r="C103" s="30" t="s">
        <v>30</v>
      </c>
      <c r="D103" s="31">
        <f t="shared" ref="D103:H103" si="52">IF(D102&lt;0,0,((D101/D100))*D102)</f>
        <v>1230.9537480063798</v>
      </c>
      <c r="E103" s="31">
        <f t="shared" si="52"/>
        <v>1094.6085552865213</v>
      </c>
      <c r="F103" s="31">
        <f t="shared" si="52"/>
        <v>1042.883064516129</v>
      </c>
      <c r="G103" s="31">
        <f t="shared" si="52"/>
        <v>633.17499999999995</v>
      </c>
      <c r="H103" s="31">
        <f t="shared" si="52"/>
        <v>280.63043478260869</v>
      </c>
      <c r="I103" s="31">
        <f t="shared" ref="I103:K103" si="53">I102</f>
        <v>89</v>
      </c>
      <c r="J103" s="31">
        <f t="shared" si="53"/>
        <v>-32</v>
      </c>
      <c r="K103" s="31">
        <f t="shared" si="53"/>
        <v>-28</v>
      </c>
      <c r="L103" s="31">
        <f t="shared" ref="L103:O103" si="54">IF(L102&lt;0,0,((L101/L100))*L102)</f>
        <v>160.93333333333334</v>
      </c>
      <c r="M103" s="31">
        <f t="shared" si="54"/>
        <v>487.31435643564362</v>
      </c>
      <c r="N103" s="31">
        <f t="shared" si="54"/>
        <v>880.46819338422381</v>
      </c>
      <c r="O103" s="31">
        <f t="shared" si="54"/>
        <v>1080.0816326530612</v>
      </c>
      <c r="P103" s="40">
        <f t="shared" si="49"/>
        <v>6920.0483183979013</v>
      </c>
      <c r="Q103" s="2"/>
      <c r="R103" s="11"/>
      <c r="S103" s="11"/>
      <c r="T103" s="11"/>
      <c r="U103" s="29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1.25" customHeight="1" x14ac:dyDescent="0.25">
      <c r="A105" s="12" t="s">
        <v>12</v>
      </c>
      <c r="B105" s="13"/>
      <c r="C105" s="14"/>
      <c r="D105" s="15" t="s">
        <v>13</v>
      </c>
      <c r="E105" s="15" t="s">
        <v>14</v>
      </c>
      <c r="F105" s="15" t="s">
        <v>15</v>
      </c>
      <c r="G105" s="15" t="s">
        <v>16</v>
      </c>
      <c r="H105" s="15" t="s">
        <v>17</v>
      </c>
      <c r="I105" s="15" t="s">
        <v>18</v>
      </c>
      <c r="J105" s="16" t="s">
        <v>19</v>
      </c>
      <c r="K105" s="15" t="s">
        <v>20</v>
      </c>
      <c r="L105" s="15" t="s">
        <v>21</v>
      </c>
      <c r="M105" s="15" t="s">
        <v>22</v>
      </c>
      <c r="N105" s="15" t="s">
        <v>23</v>
      </c>
      <c r="O105" s="15" t="s">
        <v>24</v>
      </c>
      <c r="P105" s="15" t="s">
        <v>25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1.25" hidden="1" customHeight="1" x14ac:dyDescent="0.25">
      <c r="A106" s="12"/>
      <c r="B106" s="13"/>
      <c r="C106" s="14"/>
      <c r="D106" s="77">
        <v>31</v>
      </c>
      <c r="E106" s="77">
        <v>29</v>
      </c>
      <c r="F106" s="77">
        <v>31</v>
      </c>
      <c r="G106" s="77">
        <v>30</v>
      </c>
      <c r="H106" s="77">
        <v>31</v>
      </c>
      <c r="I106" s="77">
        <v>30</v>
      </c>
      <c r="J106" s="78">
        <v>31</v>
      </c>
      <c r="K106" s="77">
        <v>31</v>
      </c>
      <c r="L106" s="77">
        <v>30</v>
      </c>
      <c r="M106" s="77">
        <v>31</v>
      </c>
      <c r="N106" s="77">
        <v>30</v>
      </c>
      <c r="O106" s="77">
        <v>31</v>
      </c>
      <c r="P106" s="15">
        <f>SUM(D106:O106)</f>
        <v>366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1.25" customHeight="1" x14ac:dyDescent="0.25">
      <c r="A107" s="24">
        <v>2016</v>
      </c>
      <c r="B107" s="25" t="s">
        <v>27</v>
      </c>
      <c r="C107" s="26" t="s">
        <v>327</v>
      </c>
      <c r="D107" s="27">
        <v>-11.26</v>
      </c>
      <c r="E107" s="27">
        <v>-1</v>
      </c>
      <c r="F107" s="27">
        <v>-0.5</v>
      </c>
      <c r="G107" s="27">
        <v>4.2</v>
      </c>
      <c r="H107" s="27">
        <v>13</v>
      </c>
      <c r="I107" s="27">
        <v>14.6</v>
      </c>
      <c r="J107" s="27">
        <v>17</v>
      </c>
      <c r="K107" s="27">
        <v>14.9</v>
      </c>
      <c r="L107" s="27">
        <v>11.5</v>
      </c>
      <c r="M107" s="27">
        <v>3.8</v>
      </c>
      <c r="N107" s="27">
        <v>-1.7</v>
      </c>
      <c r="O107" s="27">
        <v>-1.77</v>
      </c>
      <c r="P107" s="27">
        <f>AVERAGE(D107:O107)</f>
        <v>5.2308333333333321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4">
        <v>2016</v>
      </c>
      <c r="B108" s="25" t="s">
        <v>29</v>
      </c>
      <c r="C108" s="30" t="s">
        <v>30</v>
      </c>
      <c r="D108" s="31">
        <v>863</v>
      </c>
      <c r="E108" s="31">
        <v>742</v>
      </c>
      <c r="F108" s="31">
        <v>694</v>
      </c>
      <c r="G108" s="31">
        <v>463</v>
      </c>
      <c r="H108" s="31">
        <v>176</v>
      </c>
      <c r="I108" s="42">
        <v>127</v>
      </c>
      <c r="J108" s="42">
        <v>116</v>
      </c>
      <c r="K108" s="31">
        <v>150</v>
      </c>
      <c r="L108" s="31">
        <v>230</v>
      </c>
      <c r="M108" s="31">
        <v>544</v>
      </c>
      <c r="N108" s="31">
        <v>732</v>
      </c>
      <c r="O108" s="31">
        <v>744</v>
      </c>
      <c r="P108" s="31">
        <f t="shared" ref="P108:P114" si="55">SUM(D108:O108)</f>
        <v>5581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4">
        <v>2016</v>
      </c>
      <c r="B109" s="25" t="s">
        <v>31</v>
      </c>
      <c r="C109" s="30" t="s">
        <v>30</v>
      </c>
      <c r="D109" s="31">
        <v>607</v>
      </c>
      <c r="E109" s="31">
        <v>527</v>
      </c>
      <c r="F109" s="31">
        <v>542</v>
      </c>
      <c r="G109" s="31">
        <v>425</v>
      </c>
      <c r="H109" s="31">
        <v>256</v>
      </c>
      <c r="I109" s="42">
        <v>200</v>
      </c>
      <c r="J109" s="42">
        <v>181</v>
      </c>
      <c r="K109" s="31">
        <v>212</v>
      </c>
      <c r="L109" s="31">
        <v>267</v>
      </c>
      <c r="M109" s="31">
        <v>448</v>
      </c>
      <c r="N109" s="31">
        <v>588</v>
      </c>
      <c r="O109" s="31">
        <v>570</v>
      </c>
      <c r="P109" s="31">
        <f t="shared" si="55"/>
        <v>4823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4">
        <v>2016</v>
      </c>
      <c r="B110" s="25" t="s">
        <v>32</v>
      </c>
      <c r="C110" s="30" t="s">
        <v>30</v>
      </c>
      <c r="D110" s="31">
        <f t="shared" ref="D110:O110" si="56">SUM(D108:D109)</f>
        <v>1470</v>
      </c>
      <c r="E110" s="31">
        <f t="shared" si="56"/>
        <v>1269</v>
      </c>
      <c r="F110" s="31">
        <f t="shared" si="56"/>
        <v>1236</v>
      </c>
      <c r="G110" s="31">
        <f t="shared" si="56"/>
        <v>888</v>
      </c>
      <c r="H110" s="31">
        <f t="shared" si="56"/>
        <v>432</v>
      </c>
      <c r="I110" s="31">
        <f t="shared" si="56"/>
        <v>327</v>
      </c>
      <c r="J110" s="31">
        <f t="shared" si="56"/>
        <v>297</v>
      </c>
      <c r="K110" s="31">
        <f t="shared" si="56"/>
        <v>362</v>
      </c>
      <c r="L110" s="31">
        <f t="shared" si="56"/>
        <v>497</v>
      </c>
      <c r="M110" s="31">
        <f t="shared" si="56"/>
        <v>992</v>
      </c>
      <c r="N110" s="31">
        <f t="shared" si="56"/>
        <v>1320</v>
      </c>
      <c r="O110" s="31">
        <f t="shared" si="56"/>
        <v>1314</v>
      </c>
      <c r="P110" s="40">
        <f t="shared" si="55"/>
        <v>10404</v>
      </c>
      <c r="Q110" s="2"/>
      <c r="R110" s="2"/>
      <c r="S110" s="2"/>
      <c r="T110" s="11"/>
      <c r="U110" s="2"/>
      <c r="V110" s="11"/>
      <c r="W110" s="2"/>
      <c r="X110" s="2"/>
      <c r="Y110" s="2"/>
      <c r="Z110" s="2"/>
    </row>
    <row r="111" spans="1:26" ht="12.75" customHeight="1" x14ac:dyDescent="0.25">
      <c r="A111" s="24">
        <v>2016</v>
      </c>
      <c r="B111" s="41" t="s">
        <v>36</v>
      </c>
      <c r="C111" s="26" t="s">
        <v>328</v>
      </c>
      <c r="D111" s="31">
        <f>(17--11)*31</f>
        <v>868</v>
      </c>
      <c r="E111" s="31">
        <f>(17--1)*29</f>
        <v>522</v>
      </c>
      <c r="F111" s="31">
        <v>542.5</v>
      </c>
      <c r="G111" s="31">
        <f>(17-4.2)*30</f>
        <v>384</v>
      </c>
      <c r="H111" s="42">
        <v>46</v>
      </c>
      <c r="I111" s="31">
        <v>20</v>
      </c>
      <c r="J111" s="31">
        <v>0</v>
      </c>
      <c r="K111" s="31">
        <v>12</v>
      </c>
      <c r="L111" s="31">
        <v>165</v>
      </c>
      <c r="M111" s="31">
        <v>409.2</v>
      </c>
      <c r="N111" s="31">
        <f>553/1.02</f>
        <v>542.15686274509801</v>
      </c>
      <c r="O111" s="42">
        <f>586/1.02</f>
        <v>574.50980392156862</v>
      </c>
      <c r="P111" s="31">
        <f t="shared" si="55"/>
        <v>4085.3666666666663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4">
        <v>2016</v>
      </c>
      <c r="B112" s="41" t="s">
        <v>39</v>
      </c>
      <c r="C112" s="26" t="s">
        <v>329</v>
      </c>
      <c r="D112" s="31">
        <v>712</v>
      </c>
      <c r="E112" s="31">
        <v>664</v>
      </c>
      <c r="F112" s="31">
        <v>598</v>
      </c>
      <c r="G112" s="31">
        <v>387</v>
      </c>
      <c r="H112" s="31">
        <v>156</v>
      </c>
      <c r="I112" s="31">
        <v>20</v>
      </c>
      <c r="J112" s="31">
        <v>4</v>
      </c>
      <c r="K112" s="31">
        <v>30</v>
      </c>
      <c r="L112" s="31">
        <v>187</v>
      </c>
      <c r="M112" s="31">
        <v>375</v>
      </c>
      <c r="N112" s="31">
        <v>518</v>
      </c>
      <c r="O112" s="31">
        <v>655</v>
      </c>
      <c r="P112" s="31">
        <f t="shared" si="55"/>
        <v>4306</v>
      </c>
      <c r="Q112" s="83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4">
        <v>2016</v>
      </c>
      <c r="B113" s="25" t="s">
        <v>42</v>
      </c>
      <c r="C113" s="30" t="s">
        <v>30</v>
      </c>
      <c r="D113" s="31">
        <f t="shared" ref="D113:O113" si="57">D110-D106*($Q$4)</f>
        <v>1160</v>
      </c>
      <c r="E113" s="31">
        <f t="shared" si="57"/>
        <v>979</v>
      </c>
      <c r="F113" s="31">
        <f t="shared" si="57"/>
        <v>926</v>
      </c>
      <c r="G113" s="31">
        <f t="shared" si="57"/>
        <v>588</v>
      </c>
      <c r="H113" s="31">
        <f t="shared" si="57"/>
        <v>122</v>
      </c>
      <c r="I113" s="31">
        <f t="shared" si="57"/>
        <v>27</v>
      </c>
      <c r="J113" s="31">
        <f t="shared" si="57"/>
        <v>-13</v>
      </c>
      <c r="K113" s="31">
        <f t="shared" si="57"/>
        <v>52</v>
      </c>
      <c r="L113" s="31">
        <f t="shared" si="57"/>
        <v>197</v>
      </c>
      <c r="M113" s="31">
        <f t="shared" si="57"/>
        <v>682</v>
      </c>
      <c r="N113" s="31">
        <f t="shared" si="57"/>
        <v>1020</v>
      </c>
      <c r="O113" s="31">
        <f t="shared" si="57"/>
        <v>1004</v>
      </c>
      <c r="P113" s="31">
        <f t="shared" si="55"/>
        <v>6744</v>
      </c>
      <c r="Q113" s="83"/>
      <c r="R113" s="2"/>
      <c r="S113" s="11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4">
        <v>2016</v>
      </c>
      <c r="B114" s="25" t="s">
        <v>43</v>
      </c>
      <c r="C114" s="30" t="s">
        <v>30</v>
      </c>
      <c r="D114" s="31">
        <f t="shared" ref="D114:H114" si="58">IF(D113&lt;0,0,((D112/D111))*D113)</f>
        <v>951.52073732718895</v>
      </c>
      <c r="E114" s="31">
        <f t="shared" si="58"/>
        <v>1245.3180076628353</v>
      </c>
      <c r="F114" s="31">
        <f t="shared" si="58"/>
        <v>1020.7336405529954</v>
      </c>
      <c r="G114" s="31">
        <f t="shared" si="58"/>
        <v>592.59375</v>
      </c>
      <c r="H114" s="31">
        <f t="shared" si="58"/>
        <v>413.73913043478262</v>
      </c>
      <c r="I114" s="31">
        <f t="shared" ref="I114:K114" si="59">I113</f>
        <v>27</v>
      </c>
      <c r="J114" s="31">
        <f t="shared" si="59"/>
        <v>-13</v>
      </c>
      <c r="K114" s="31">
        <f t="shared" si="59"/>
        <v>52</v>
      </c>
      <c r="L114" s="31">
        <f t="shared" ref="L114:O114" si="60">IF(L113&lt;0,0,((L112/L111))*L113)</f>
        <v>223.26666666666665</v>
      </c>
      <c r="M114" s="31">
        <f t="shared" si="60"/>
        <v>625</v>
      </c>
      <c r="N114" s="31">
        <f t="shared" si="60"/>
        <v>974.55189873417726</v>
      </c>
      <c r="O114" s="31">
        <f t="shared" si="60"/>
        <v>1144.6627986348124</v>
      </c>
      <c r="P114" s="40">
        <f t="shared" si="55"/>
        <v>7257.3866300134587</v>
      </c>
      <c r="Q114" s="2"/>
      <c r="R114" s="2"/>
      <c r="S114" s="11"/>
      <c r="T114" s="11"/>
      <c r="U114" s="29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12" t="s">
        <v>12</v>
      </c>
      <c r="B116" s="13"/>
      <c r="C116" s="14"/>
      <c r="D116" s="15" t="s">
        <v>13</v>
      </c>
      <c r="E116" s="15" t="s">
        <v>14</v>
      </c>
      <c r="F116" s="15" t="s">
        <v>15</v>
      </c>
      <c r="G116" s="15" t="s">
        <v>16</v>
      </c>
      <c r="H116" s="15" t="s">
        <v>17</v>
      </c>
      <c r="I116" s="15" t="s">
        <v>18</v>
      </c>
      <c r="J116" s="16" t="s">
        <v>19</v>
      </c>
      <c r="K116" s="15" t="s">
        <v>20</v>
      </c>
      <c r="L116" s="15" t="s">
        <v>21</v>
      </c>
      <c r="M116" s="15" t="s">
        <v>22</v>
      </c>
      <c r="N116" s="15" t="s">
        <v>23</v>
      </c>
      <c r="O116" s="15" t="s">
        <v>24</v>
      </c>
      <c r="P116" s="15" t="s">
        <v>25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9.75" hidden="1" customHeight="1" x14ac:dyDescent="0.25">
      <c r="A117" s="12"/>
      <c r="B117" s="13"/>
      <c r="C117" s="14"/>
      <c r="D117" s="77">
        <v>31</v>
      </c>
      <c r="E117" s="77">
        <v>28</v>
      </c>
      <c r="F117" s="77">
        <v>31</v>
      </c>
      <c r="G117" s="77">
        <v>30</v>
      </c>
      <c r="H117" s="77">
        <v>31</v>
      </c>
      <c r="I117" s="77">
        <v>30</v>
      </c>
      <c r="J117" s="78">
        <v>31</v>
      </c>
      <c r="K117" s="77">
        <v>31</v>
      </c>
      <c r="L117" s="77">
        <v>30</v>
      </c>
      <c r="M117" s="77">
        <v>31</v>
      </c>
      <c r="N117" s="77">
        <v>30</v>
      </c>
      <c r="O117" s="77">
        <v>31</v>
      </c>
      <c r="P117" s="15">
        <f>SUM(D117:O117)</f>
        <v>365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4">
        <v>2017</v>
      </c>
      <c r="B118" s="25" t="s">
        <v>27</v>
      </c>
      <c r="C118" s="26" t="s">
        <v>330</v>
      </c>
      <c r="D118" s="27">
        <v>-3.6</v>
      </c>
      <c r="E118" s="27">
        <v>-4.37</v>
      </c>
      <c r="F118" s="27">
        <v>0.3</v>
      </c>
      <c r="G118" s="27">
        <v>2.4</v>
      </c>
      <c r="H118" s="27">
        <v>10.3</v>
      </c>
      <c r="I118" s="27">
        <v>14.33</v>
      </c>
      <c r="J118" s="27">
        <v>16.5</v>
      </c>
      <c r="K118" s="27">
        <v>14.8</v>
      </c>
      <c r="L118" s="27">
        <v>10.5</v>
      </c>
      <c r="M118" s="27">
        <v>4.3</v>
      </c>
      <c r="N118" s="27">
        <v>1.8</v>
      </c>
      <c r="O118" s="27">
        <v>-0.1</v>
      </c>
      <c r="P118" s="27">
        <f>AVERAGE(D118:O118)</f>
        <v>5.5966666666666667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4">
        <v>2017</v>
      </c>
      <c r="B119" s="25" t="s">
        <v>29</v>
      </c>
      <c r="C119" s="30" t="s">
        <v>30</v>
      </c>
      <c r="D119" s="31">
        <v>832</v>
      </c>
      <c r="E119" s="31">
        <v>695</v>
      </c>
      <c r="F119" s="31">
        <v>663</v>
      </c>
      <c r="G119" s="31">
        <v>530</v>
      </c>
      <c r="H119" s="31">
        <v>281</v>
      </c>
      <c r="I119" s="42">
        <v>181</v>
      </c>
      <c r="J119" s="42">
        <v>116</v>
      </c>
      <c r="K119" s="31">
        <v>174</v>
      </c>
      <c r="L119" s="31">
        <v>294</v>
      </c>
      <c r="M119" s="31">
        <v>513</v>
      </c>
      <c r="N119" s="31">
        <v>598</v>
      </c>
      <c r="O119" s="31">
        <v>690</v>
      </c>
      <c r="P119" s="31">
        <f t="shared" ref="P119:P125" si="61">SUM(D119:O119)</f>
        <v>5567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4">
        <v>2017</v>
      </c>
      <c r="B120" s="25" t="s">
        <v>31</v>
      </c>
      <c r="C120" s="30" t="s">
        <v>30</v>
      </c>
      <c r="D120" s="31">
        <v>617</v>
      </c>
      <c r="E120" s="31">
        <v>551</v>
      </c>
      <c r="F120" s="31">
        <v>573</v>
      </c>
      <c r="G120" s="31">
        <v>486</v>
      </c>
      <c r="H120" s="31">
        <v>356</v>
      </c>
      <c r="I120" s="42">
        <v>229</v>
      </c>
      <c r="J120" s="42">
        <v>181</v>
      </c>
      <c r="K120" s="31">
        <v>252</v>
      </c>
      <c r="L120" s="31">
        <v>314</v>
      </c>
      <c r="M120" s="31">
        <v>427</v>
      </c>
      <c r="N120" s="31">
        <v>498</v>
      </c>
      <c r="O120" s="31">
        <v>546</v>
      </c>
      <c r="P120" s="31">
        <f t="shared" si="61"/>
        <v>5030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4">
        <v>2017</v>
      </c>
      <c r="B121" s="25" t="s">
        <v>32</v>
      </c>
      <c r="C121" s="30" t="s">
        <v>30</v>
      </c>
      <c r="D121" s="31">
        <f t="shared" ref="D121:O121" si="62">SUM(D119:D120)</f>
        <v>1449</v>
      </c>
      <c r="E121" s="31">
        <f t="shared" si="62"/>
        <v>1246</v>
      </c>
      <c r="F121" s="31">
        <f t="shared" si="62"/>
        <v>1236</v>
      </c>
      <c r="G121" s="31">
        <f t="shared" si="62"/>
        <v>1016</v>
      </c>
      <c r="H121" s="31">
        <f t="shared" si="62"/>
        <v>637</v>
      </c>
      <c r="I121" s="31">
        <f t="shared" si="62"/>
        <v>410</v>
      </c>
      <c r="J121" s="31">
        <f t="shared" si="62"/>
        <v>297</v>
      </c>
      <c r="K121" s="31">
        <f t="shared" si="62"/>
        <v>426</v>
      </c>
      <c r="L121" s="31">
        <f t="shared" si="62"/>
        <v>608</v>
      </c>
      <c r="M121" s="31">
        <f t="shared" si="62"/>
        <v>940</v>
      </c>
      <c r="N121" s="31">
        <f t="shared" si="62"/>
        <v>1096</v>
      </c>
      <c r="O121" s="31">
        <f t="shared" si="62"/>
        <v>1236</v>
      </c>
      <c r="P121" s="40">
        <f t="shared" si="61"/>
        <v>10597</v>
      </c>
      <c r="Q121" s="2"/>
      <c r="R121" s="2"/>
      <c r="S121" s="2"/>
      <c r="T121" s="11"/>
      <c r="U121" s="2"/>
      <c r="V121" s="2"/>
      <c r="W121" s="2"/>
      <c r="X121" s="2"/>
      <c r="Y121" s="2"/>
      <c r="Z121" s="2"/>
    </row>
    <row r="122" spans="1:26" ht="12.75" customHeight="1" x14ac:dyDescent="0.25">
      <c r="A122" s="24">
        <v>2017</v>
      </c>
      <c r="B122" s="41" t="s">
        <v>36</v>
      </c>
      <c r="C122" s="26" t="s">
        <v>331</v>
      </c>
      <c r="D122" s="31">
        <f>647/1.02</f>
        <v>634.31372549019602</v>
      </c>
      <c r="E122" s="31">
        <f>(17--4.4)*28</f>
        <v>599.19999999999993</v>
      </c>
      <c r="F122" s="31">
        <v>518</v>
      </c>
      <c r="G122" s="31">
        <f>460/1.02</f>
        <v>450.98039215686276</v>
      </c>
      <c r="H122" s="42">
        <f>219/1.02</f>
        <v>214.70588235294116</v>
      </c>
      <c r="I122" s="31">
        <v>81</v>
      </c>
      <c r="J122" s="31">
        <v>10</v>
      </c>
      <c r="K122" s="31">
        <v>34</v>
      </c>
      <c r="L122" s="31">
        <f>188/1.02</f>
        <v>184.31372549019608</v>
      </c>
      <c r="M122" s="31">
        <v>385</v>
      </c>
      <c r="N122" s="31">
        <v>460.78431372548999</v>
      </c>
      <c r="O122" s="42">
        <f>(17--0.2)*31</f>
        <v>533.19999999999993</v>
      </c>
      <c r="P122" s="31">
        <f t="shared" si="61"/>
        <v>4105.4980392156858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4">
        <v>2017</v>
      </c>
      <c r="B123" s="41" t="s">
        <v>39</v>
      </c>
      <c r="C123" s="26" t="s">
        <v>332</v>
      </c>
      <c r="D123" s="31">
        <v>712</v>
      </c>
      <c r="E123" s="31">
        <v>664</v>
      </c>
      <c r="F123" s="31">
        <v>598</v>
      </c>
      <c r="G123" s="31">
        <v>387</v>
      </c>
      <c r="H123" s="31">
        <v>156</v>
      </c>
      <c r="I123" s="31">
        <v>20</v>
      </c>
      <c r="J123" s="31">
        <v>4</v>
      </c>
      <c r="K123" s="31">
        <v>30</v>
      </c>
      <c r="L123" s="31">
        <v>187</v>
      </c>
      <c r="M123" s="31">
        <v>375</v>
      </c>
      <c r="N123" s="31">
        <v>518</v>
      </c>
      <c r="O123" s="31">
        <v>655</v>
      </c>
      <c r="P123" s="31">
        <f t="shared" si="61"/>
        <v>4306</v>
      </c>
      <c r="Q123" s="83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4">
        <v>2017</v>
      </c>
      <c r="B124" s="25" t="s">
        <v>42</v>
      </c>
      <c r="C124" s="30" t="s">
        <v>30</v>
      </c>
      <c r="D124" s="31">
        <f t="shared" ref="D124:O124" si="63">D121-D117*($Q$4)</f>
        <v>1139</v>
      </c>
      <c r="E124" s="31">
        <f t="shared" si="63"/>
        <v>966</v>
      </c>
      <c r="F124" s="31">
        <f t="shared" si="63"/>
        <v>926</v>
      </c>
      <c r="G124" s="31">
        <f t="shared" si="63"/>
        <v>716</v>
      </c>
      <c r="H124" s="31">
        <f t="shared" si="63"/>
        <v>327</v>
      </c>
      <c r="I124" s="31">
        <f t="shared" si="63"/>
        <v>110</v>
      </c>
      <c r="J124" s="31">
        <f t="shared" si="63"/>
        <v>-13</v>
      </c>
      <c r="K124" s="31">
        <f t="shared" si="63"/>
        <v>116</v>
      </c>
      <c r="L124" s="31">
        <f t="shared" si="63"/>
        <v>308</v>
      </c>
      <c r="M124" s="31">
        <f t="shared" si="63"/>
        <v>630</v>
      </c>
      <c r="N124" s="31">
        <f t="shared" si="63"/>
        <v>796</v>
      </c>
      <c r="O124" s="31">
        <f t="shared" si="63"/>
        <v>926</v>
      </c>
      <c r="P124" s="31">
        <f t="shared" si="61"/>
        <v>6947</v>
      </c>
      <c r="Q124" s="83"/>
      <c r="R124" s="2"/>
      <c r="S124" s="11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4">
        <v>2017</v>
      </c>
      <c r="B125" s="25" t="s">
        <v>43</v>
      </c>
      <c r="C125" s="30" t="s">
        <v>30</v>
      </c>
      <c r="D125" s="31">
        <f t="shared" ref="D125:H125" si="64">IF(D124&lt;0,0,((D123/D122))*D124)</f>
        <v>1278.4966924265846</v>
      </c>
      <c r="E125" s="31">
        <f t="shared" si="64"/>
        <v>1070.4672897196263</v>
      </c>
      <c r="F125" s="31">
        <f t="shared" si="64"/>
        <v>1069.0115830115828</v>
      </c>
      <c r="G125" s="31">
        <f t="shared" si="64"/>
        <v>614.42139130434782</v>
      </c>
      <c r="H125" s="31">
        <f t="shared" si="64"/>
        <v>237.59013698630139</v>
      </c>
      <c r="I125" s="31">
        <f t="shared" ref="I125:K125" si="65">I124</f>
        <v>110</v>
      </c>
      <c r="J125" s="31">
        <f t="shared" si="65"/>
        <v>-13</v>
      </c>
      <c r="K125" s="31">
        <f t="shared" si="65"/>
        <v>116</v>
      </c>
      <c r="L125" s="31">
        <f t="shared" ref="L125:O125" si="66">IF(L124&lt;0,0,((L123/L122))*L124)</f>
        <v>312.48893617021275</v>
      </c>
      <c r="M125" s="31">
        <f t="shared" si="66"/>
        <v>613.63636363636363</v>
      </c>
      <c r="N125" s="31">
        <f t="shared" si="66"/>
        <v>894.83948936170248</v>
      </c>
      <c r="O125" s="31">
        <f t="shared" si="66"/>
        <v>1137.5281320330084</v>
      </c>
      <c r="P125" s="40">
        <f t="shared" si="61"/>
        <v>7441.48001464973</v>
      </c>
      <c r="Q125" s="2"/>
      <c r="R125" s="2"/>
      <c r="S125" s="11"/>
      <c r="T125" s="11"/>
      <c r="U125" s="29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12" t="s">
        <v>12</v>
      </c>
      <c r="B127" s="13"/>
      <c r="C127" s="14"/>
      <c r="D127" s="15" t="s">
        <v>13</v>
      </c>
      <c r="E127" s="15" t="s">
        <v>14</v>
      </c>
      <c r="F127" s="15" t="s">
        <v>15</v>
      </c>
      <c r="G127" s="15" t="s">
        <v>16</v>
      </c>
      <c r="H127" s="15" t="s">
        <v>17</v>
      </c>
      <c r="I127" s="15" t="s">
        <v>18</v>
      </c>
      <c r="J127" s="16" t="s">
        <v>19</v>
      </c>
      <c r="K127" s="15" t="s">
        <v>20</v>
      </c>
      <c r="L127" s="15" t="s">
        <v>21</v>
      </c>
      <c r="M127" s="15" t="s">
        <v>22</v>
      </c>
      <c r="N127" s="15" t="s">
        <v>23</v>
      </c>
      <c r="O127" s="15" t="s">
        <v>24</v>
      </c>
      <c r="P127" s="15" t="s">
        <v>25</v>
      </c>
      <c r="Q127" s="2"/>
      <c r="R127" s="92"/>
      <c r="S127" s="2"/>
      <c r="T127" s="2"/>
      <c r="U127" s="2"/>
      <c r="V127" s="2"/>
      <c r="W127" s="2"/>
      <c r="X127" s="2"/>
      <c r="Y127" s="2"/>
      <c r="Z127" s="2"/>
    </row>
    <row r="128" spans="1:26" ht="9.75" hidden="1" customHeight="1" x14ac:dyDescent="0.25">
      <c r="A128" s="12"/>
      <c r="B128" s="13"/>
      <c r="C128" s="14"/>
      <c r="D128" s="77">
        <v>31</v>
      </c>
      <c r="E128" s="77">
        <v>28</v>
      </c>
      <c r="F128" s="77">
        <v>31</v>
      </c>
      <c r="G128" s="77">
        <v>30</v>
      </c>
      <c r="H128" s="77">
        <v>31</v>
      </c>
      <c r="I128" s="77">
        <v>30</v>
      </c>
      <c r="J128" s="78">
        <v>31</v>
      </c>
      <c r="K128" s="77">
        <v>31</v>
      </c>
      <c r="L128" s="77">
        <v>30</v>
      </c>
      <c r="M128" s="77">
        <v>31</v>
      </c>
      <c r="N128" s="77">
        <v>30</v>
      </c>
      <c r="O128" s="77">
        <v>31</v>
      </c>
      <c r="P128" s="15">
        <f>SUM(D128:O128)</f>
        <v>365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4">
        <v>2018</v>
      </c>
      <c r="B129" s="25" t="s">
        <v>27</v>
      </c>
      <c r="C129" s="26" t="s">
        <v>333</v>
      </c>
      <c r="D129" s="27">
        <v>-2.9</v>
      </c>
      <c r="E129" s="27">
        <v>-8.9</v>
      </c>
      <c r="F129" s="27">
        <v>-5.5</v>
      </c>
      <c r="G129" s="27">
        <v>4.4000000000000004</v>
      </c>
      <c r="H129" s="27">
        <v>14.4</v>
      </c>
      <c r="I129" s="27">
        <v>14.7</v>
      </c>
      <c r="J129" s="27">
        <v>19.8</v>
      </c>
      <c r="K129" s="27">
        <v>16.8</v>
      </c>
      <c r="L129" s="27">
        <v>12.1</v>
      </c>
      <c r="M129" s="27">
        <v>5.6</v>
      </c>
      <c r="N129" s="27">
        <v>2.2000000000000002</v>
      </c>
      <c r="O129" s="27">
        <v>-2.6</v>
      </c>
      <c r="P129" s="27">
        <f>AVERAGE(D129:O129)</f>
        <v>5.8416666666666659</v>
      </c>
      <c r="Q129" s="2"/>
      <c r="R129" s="2"/>
      <c r="S129" s="2"/>
      <c r="T129" s="2"/>
      <c r="U129" s="2"/>
      <c r="V129" s="2"/>
      <c r="W129" s="2"/>
      <c r="X129" s="2"/>
      <c r="Y129" s="43"/>
      <c r="Z129" s="43"/>
    </row>
    <row r="130" spans="1:26" ht="12.75" customHeight="1" x14ac:dyDescent="0.25">
      <c r="A130" s="24">
        <v>2018</v>
      </c>
      <c r="B130" s="25" t="s">
        <v>29</v>
      </c>
      <c r="C130" s="30" t="s">
        <v>30</v>
      </c>
      <c r="D130" s="31">
        <v>844</v>
      </c>
      <c r="E130" s="31">
        <v>835</v>
      </c>
      <c r="F130" s="31">
        <v>781</v>
      </c>
      <c r="G130" s="31">
        <v>467</v>
      </c>
      <c r="H130" s="31">
        <v>187</v>
      </c>
      <c r="I130" s="42">
        <v>140</v>
      </c>
      <c r="J130" s="42">
        <v>100</v>
      </c>
      <c r="K130" s="31">
        <v>124</v>
      </c>
      <c r="L130" s="31">
        <v>205</v>
      </c>
      <c r="M130" s="31">
        <v>459</v>
      </c>
      <c r="N130" s="31">
        <v>602</v>
      </c>
      <c r="O130" s="31">
        <v>761</v>
      </c>
      <c r="P130" s="31">
        <f t="shared" ref="P130:P136" si="67">SUM(D130:O130)</f>
        <v>5505</v>
      </c>
      <c r="Q130" s="2"/>
      <c r="R130" s="11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4">
        <v>2018</v>
      </c>
      <c r="B131" s="25" t="s">
        <v>31</v>
      </c>
      <c r="C131" s="30" t="s">
        <v>30</v>
      </c>
      <c r="D131" s="31">
        <v>625</v>
      </c>
      <c r="E131" s="31">
        <v>629</v>
      </c>
      <c r="F131" s="31">
        <v>645</v>
      </c>
      <c r="G131" s="31">
        <v>448</v>
      </c>
      <c r="H131" s="31">
        <v>269</v>
      </c>
      <c r="I131" s="42">
        <v>210</v>
      </c>
      <c r="J131" s="42">
        <v>172</v>
      </c>
      <c r="K131" s="31">
        <v>203</v>
      </c>
      <c r="L131" s="31">
        <v>258</v>
      </c>
      <c r="M131" s="31">
        <v>393</v>
      </c>
      <c r="N131" s="31">
        <v>503</v>
      </c>
      <c r="O131" s="31">
        <v>585</v>
      </c>
      <c r="P131" s="31">
        <f t="shared" si="67"/>
        <v>4940</v>
      </c>
      <c r="Q131" s="2"/>
      <c r="R131" s="11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4">
        <v>2018</v>
      </c>
      <c r="B132" s="25" t="s">
        <v>32</v>
      </c>
      <c r="C132" s="30" t="s">
        <v>30</v>
      </c>
      <c r="D132" s="31">
        <f t="shared" ref="D132:O132" si="68">SUM(D130:D131)</f>
        <v>1469</v>
      </c>
      <c r="E132" s="31">
        <f t="shared" si="68"/>
        <v>1464</v>
      </c>
      <c r="F132" s="31">
        <f t="shared" si="68"/>
        <v>1426</v>
      </c>
      <c r="G132" s="31">
        <f t="shared" si="68"/>
        <v>915</v>
      </c>
      <c r="H132" s="31">
        <f t="shared" si="68"/>
        <v>456</v>
      </c>
      <c r="I132" s="31">
        <f t="shared" si="68"/>
        <v>350</v>
      </c>
      <c r="J132" s="31">
        <f t="shared" si="68"/>
        <v>272</v>
      </c>
      <c r="K132" s="31">
        <f t="shared" si="68"/>
        <v>327</v>
      </c>
      <c r="L132" s="31">
        <f t="shared" si="68"/>
        <v>463</v>
      </c>
      <c r="M132" s="31">
        <f t="shared" si="68"/>
        <v>852</v>
      </c>
      <c r="N132" s="31">
        <f t="shared" si="68"/>
        <v>1105</v>
      </c>
      <c r="O132" s="31">
        <f t="shared" si="68"/>
        <v>1346</v>
      </c>
      <c r="P132" s="40">
        <f t="shared" si="67"/>
        <v>10445</v>
      </c>
      <c r="Q132" s="2"/>
      <c r="R132" s="11"/>
      <c r="S132" s="2"/>
      <c r="T132" s="11"/>
      <c r="U132" s="2"/>
      <c r="V132" s="2"/>
      <c r="W132" s="2"/>
      <c r="X132" s="2"/>
      <c r="Y132" s="2"/>
      <c r="Z132" s="2"/>
    </row>
    <row r="133" spans="1:26" ht="12.75" customHeight="1" x14ac:dyDescent="0.25">
      <c r="A133" s="24">
        <v>2018</v>
      </c>
      <c r="B133" s="41" t="s">
        <v>36</v>
      </c>
      <c r="C133" s="26" t="s">
        <v>334</v>
      </c>
      <c r="D133" s="31">
        <f>634/1.02</f>
        <v>621.56862745098033</v>
      </c>
      <c r="E133" s="31">
        <v>725</v>
      </c>
      <c r="F133" s="31">
        <v>704</v>
      </c>
      <c r="G133" s="31">
        <f>(17-5.1)*30</f>
        <v>357</v>
      </c>
      <c r="H133" s="42">
        <f>45/1.02</f>
        <v>44.117647058823529</v>
      </c>
      <c r="I133" s="31">
        <f>(17-14.7)*(30-11)</f>
        <v>43.700000000000017</v>
      </c>
      <c r="J133" s="31">
        <v>0</v>
      </c>
      <c r="K133" s="31">
        <v>0</v>
      </c>
      <c r="L133" s="31">
        <v>123</v>
      </c>
      <c r="M133" s="31">
        <v>363</v>
      </c>
      <c r="N133" s="31">
        <f>450/1.02</f>
        <v>441.1764705882353</v>
      </c>
      <c r="O133" s="42">
        <v>608</v>
      </c>
      <c r="P133" s="31">
        <f t="shared" si="67"/>
        <v>4030.5627450980387</v>
      </c>
      <c r="Q133" s="2"/>
      <c r="R133" s="11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4">
        <v>2018</v>
      </c>
      <c r="B134" s="41" t="s">
        <v>39</v>
      </c>
      <c r="C134" s="26" t="s">
        <v>335</v>
      </c>
      <c r="D134" s="31">
        <v>712</v>
      </c>
      <c r="E134" s="31">
        <v>664</v>
      </c>
      <c r="F134" s="31">
        <v>598</v>
      </c>
      <c r="G134" s="31">
        <v>387</v>
      </c>
      <c r="H134" s="31">
        <v>156</v>
      </c>
      <c r="I134" s="31">
        <v>20</v>
      </c>
      <c r="J134" s="31">
        <v>4</v>
      </c>
      <c r="K134" s="31">
        <v>30</v>
      </c>
      <c r="L134" s="31">
        <v>187</v>
      </c>
      <c r="M134" s="31">
        <v>375</v>
      </c>
      <c r="N134" s="31">
        <v>518</v>
      </c>
      <c r="O134" s="31">
        <v>655</v>
      </c>
      <c r="P134" s="31">
        <f t="shared" si="67"/>
        <v>4306</v>
      </c>
      <c r="Q134" s="83"/>
      <c r="R134" s="11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4">
        <v>2018</v>
      </c>
      <c r="B135" s="25" t="s">
        <v>42</v>
      </c>
      <c r="C135" s="30" t="s">
        <v>30</v>
      </c>
      <c r="D135" s="31">
        <f t="shared" ref="D135:O135" si="69">D132-D128*($Q$4)</f>
        <v>1159</v>
      </c>
      <c r="E135" s="31">
        <f t="shared" si="69"/>
        <v>1184</v>
      </c>
      <c r="F135" s="31">
        <f t="shared" si="69"/>
        <v>1116</v>
      </c>
      <c r="G135" s="31">
        <f t="shared" si="69"/>
        <v>615</v>
      </c>
      <c r="H135" s="31">
        <f t="shared" si="69"/>
        <v>146</v>
      </c>
      <c r="I135" s="31">
        <f t="shared" si="69"/>
        <v>50</v>
      </c>
      <c r="J135" s="31">
        <f t="shared" si="69"/>
        <v>-38</v>
      </c>
      <c r="K135" s="31">
        <f t="shared" si="69"/>
        <v>17</v>
      </c>
      <c r="L135" s="31">
        <f t="shared" si="69"/>
        <v>163</v>
      </c>
      <c r="M135" s="31">
        <f t="shared" si="69"/>
        <v>542</v>
      </c>
      <c r="N135" s="31">
        <f t="shared" si="69"/>
        <v>805</v>
      </c>
      <c r="O135" s="31">
        <f t="shared" si="69"/>
        <v>1036</v>
      </c>
      <c r="P135" s="31">
        <f t="shared" si="67"/>
        <v>6795</v>
      </c>
      <c r="Q135" s="83"/>
      <c r="R135" s="11"/>
      <c r="S135" s="11"/>
      <c r="T135" s="11">
        <f>P135+P124+P113+P102+P91</f>
        <v>32553.974603174604</v>
      </c>
      <c r="U135" s="2"/>
      <c r="V135" s="2"/>
      <c r="W135" s="2"/>
      <c r="X135" s="2"/>
      <c r="Y135" s="2"/>
      <c r="Z135" s="2"/>
    </row>
    <row r="136" spans="1:26" ht="12.75" customHeight="1" x14ac:dyDescent="0.25">
      <c r="A136" s="24">
        <v>2018</v>
      </c>
      <c r="B136" s="25" t="s">
        <v>43</v>
      </c>
      <c r="C136" s="30" t="s">
        <v>30</v>
      </c>
      <c r="D136" s="31">
        <f t="shared" ref="D136:H136" si="70">IF(D135&lt;0,0,((D134/D133))*D135)</f>
        <v>1327.6217034700317</v>
      </c>
      <c r="E136" s="31">
        <f t="shared" si="70"/>
        <v>1084.3806896551723</v>
      </c>
      <c r="F136" s="31">
        <f t="shared" si="70"/>
        <v>947.96590909090912</v>
      </c>
      <c r="G136" s="31">
        <f t="shared" si="70"/>
        <v>666.68067226890753</v>
      </c>
      <c r="H136" s="31">
        <f t="shared" si="70"/>
        <v>516.25599999999997</v>
      </c>
      <c r="I136" s="31">
        <f t="shared" ref="I136:K136" si="71">I135</f>
        <v>50</v>
      </c>
      <c r="J136" s="31">
        <f t="shared" si="71"/>
        <v>-38</v>
      </c>
      <c r="K136" s="31">
        <f t="shared" si="71"/>
        <v>17</v>
      </c>
      <c r="L136" s="31">
        <f t="shared" ref="L136:O136" si="72">IF(L135&lt;0,0,((L134/L133))*L135)</f>
        <v>247.8130081300813</v>
      </c>
      <c r="M136" s="31">
        <f t="shared" si="72"/>
        <v>559.91735537190073</v>
      </c>
      <c r="N136" s="31">
        <f t="shared" si="72"/>
        <v>945.17733333333331</v>
      </c>
      <c r="O136" s="31">
        <f t="shared" si="72"/>
        <v>1116.0855263157894</v>
      </c>
      <c r="P136" s="40">
        <f t="shared" si="67"/>
        <v>7440.8981976361256</v>
      </c>
      <c r="Q136" s="2"/>
      <c r="R136" s="94"/>
      <c r="S136" s="11"/>
      <c r="T136" s="11"/>
      <c r="U136" s="29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12" t="s">
        <v>12</v>
      </c>
      <c r="B138" s="13"/>
      <c r="C138" s="14"/>
      <c r="D138" s="15" t="s">
        <v>13</v>
      </c>
      <c r="E138" s="15" t="s">
        <v>14</v>
      </c>
      <c r="F138" s="15" t="s">
        <v>15</v>
      </c>
      <c r="G138" s="15" t="s">
        <v>16</v>
      </c>
      <c r="H138" s="15" t="s">
        <v>17</v>
      </c>
      <c r="I138" s="15" t="s">
        <v>18</v>
      </c>
      <c r="J138" s="16" t="s">
        <v>19</v>
      </c>
      <c r="K138" s="15" t="s">
        <v>20</v>
      </c>
      <c r="L138" s="15" t="s">
        <v>21</v>
      </c>
      <c r="M138" s="15" t="s">
        <v>22</v>
      </c>
      <c r="N138" s="15" t="s">
        <v>23</v>
      </c>
      <c r="O138" s="15" t="s">
        <v>24</v>
      </c>
      <c r="P138" s="15" t="s">
        <v>25</v>
      </c>
      <c r="Q138" s="2"/>
      <c r="R138" s="9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2"/>
      <c r="B139" s="13"/>
      <c r="C139" s="14"/>
      <c r="D139" s="77">
        <v>31</v>
      </c>
      <c r="E139" s="77">
        <v>28</v>
      </c>
      <c r="F139" s="77">
        <v>31</v>
      </c>
      <c r="G139" s="77">
        <v>30</v>
      </c>
      <c r="H139" s="77">
        <v>31</v>
      </c>
      <c r="I139" s="77">
        <v>30</v>
      </c>
      <c r="J139" s="78">
        <v>31</v>
      </c>
      <c r="K139" s="77">
        <v>31</v>
      </c>
      <c r="L139" s="77">
        <v>30</v>
      </c>
      <c r="M139" s="77">
        <v>31</v>
      </c>
      <c r="N139" s="77">
        <v>30</v>
      </c>
      <c r="O139" s="77">
        <v>31</v>
      </c>
      <c r="P139" s="15">
        <f>SUM(D139:O139)</f>
        <v>365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4">
        <v>2019</v>
      </c>
      <c r="B140" s="25" t="s">
        <v>27</v>
      </c>
      <c r="C140" s="26" t="s">
        <v>336</v>
      </c>
      <c r="D140" s="27">
        <v>-7.5</v>
      </c>
      <c r="E140" s="27">
        <v>-0.9</v>
      </c>
      <c r="F140" s="27">
        <v>-0.97</v>
      </c>
      <c r="G140" s="27">
        <v>5.6</v>
      </c>
      <c r="H140" s="27">
        <v>9.9</v>
      </c>
      <c r="I140" s="27">
        <v>16.899999999999999</v>
      </c>
      <c r="J140" s="27">
        <v>16.3</v>
      </c>
      <c r="K140" s="27">
        <v>16.100000000000001</v>
      </c>
      <c r="L140" s="27">
        <v>9.9</v>
      </c>
      <c r="M140" s="27">
        <v>4.3</v>
      </c>
      <c r="N140" s="27">
        <v>0.9</v>
      </c>
      <c r="O140" s="27">
        <v>0.7</v>
      </c>
      <c r="P140" s="27">
        <f>AVERAGE(D140:O140)</f>
        <v>5.935833333333334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4">
        <v>2019</v>
      </c>
      <c r="B141" s="25" t="s">
        <v>29</v>
      </c>
      <c r="C141" s="30" t="s">
        <v>30</v>
      </c>
      <c r="D141" s="31">
        <v>884</v>
      </c>
      <c r="E141" s="31">
        <v>684</v>
      </c>
      <c r="F141" s="31">
        <v>676</v>
      </c>
      <c r="G141" s="31">
        <v>425</v>
      </c>
      <c r="H141" s="31">
        <v>295</v>
      </c>
      <c r="I141" s="42">
        <v>107</v>
      </c>
      <c r="J141" s="42">
        <v>104</v>
      </c>
      <c r="K141" s="31">
        <v>128</v>
      </c>
      <c r="L141" s="31">
        <v>277</v>
      </c>
      <c r="M141" s="31">
        <v>525</v>
      </c>
      <c r="N141" s="31">
        <v>662</v>
      </c>
      <c r="O141" s="31">
        <v>674</v>
      </c>
      <c r="P141" s="31">
        <f t="shared" ref="P141:P147" si="73">SUM(D141:O141)</f>
        <v>5441</v>
      </c>
      <c r="Q141" s="2"/>
      <c r="R141" s="11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4">
        <v>2019</v>
      </c>
      <c r="B142" s="25" t="s">
        <v>31</v>
      </c>
      <c r="C142" s="30" t="s">
        <v>30</v>
      </c>
      <c r="D142" s="31">
        <v>651</v>
      </c>
      <c r="E142" s="31">
        <v>567</v>
      </c>
      <c r="F142" s="31">
        <v>565</v>
      </c>
      <c r="G142" s="31">
        <v>415</v>
      </c>
      <c r="H142" s="31">
        <v>326</v>
      </c>
      <c r="I142" s="42">
        <v>192</v>
      </c>
      <c r="J142" s="42">
        <v>168</v>
      </c>
      <c r="K142" s="31">
        <v>215</v>
      </c>
      <c r="L142" s="31">
        <v>302</v>
      </c>
      <c r="M142" s="31">
        <v>454</v>
      </c>
      <c r="N142" s="31">
        <v>517</v>
      </c>
      <c r="O142" s="31">
        <v>525</v>
      </c>
      <c r="P142" s="31">
        <f t="shared" si="73"/>
        <v>4897</v>
      </c>
      <c r="Q142" s="2"/>
      <c r="R142" s="11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4">
        <v>2019</v>
      </c>
      <c r="B143" s="25" t="s">
        <v>32</v>
      </c>
      <c r="C143" s="30" t="s">
        <v>30</v>
      </c>
      <c r="D143" s="31">
        <f t="shared" ref="D143:O143" si="74">SUM(D141:D142)</f>
        <v>1535</v>
      </c>
      <c r="E143" s="31">
        <f t="shared" si="74"/>
        <v>1251</v>
      </c>
      <c r="F143" s="31">
        <f t="shared" si="74"/>
        <v>1241</v>
      </c>
      <c r="G143" s="31">
        <f t="shared" si="74"/>
        <v>840</v>
      </c>
      <c r="H143" s="31">
        <f t="shared" si="74"/>
        <v>621</v>
      </c>
      <c r="I143" s="31">
        <f t="shared" si="74"/>
        <v>299</v>
      </c>
      <c r="J143" s="31">
        <f t="shared" si="74"/>
        <v>272</v>
      </c>
      <c r="K143" s="31">
        <f t="shared" si="74"/>
        <v>343</v>
      </c>
      <c r="L143" s="31">
        <f t="shared" si="74"/>
        <v>579</v>
      </c>
      <c r="M143" s="31">
        <f t="shared" si="74"/>
        <v>979</v>
      </c>
      <c r="N143" s="31">
        <f t="shared" si="74"/>
        <v>1179</v>
      </c>
      <c r="O143" s="31">
        <f t="shared" si="74"/>
        <v>1199</v>
      </c>
      <c r="P143" s="40">
        <f t="shared" si="73"/>
        <v>10338</v>
      </c>
      <c r="Q143" s="2"/>
      <c r="R143" s="11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4">
        <v>2019</v>
      </c>
      <c r="B144" s="41" t="s">
        <v>36</v>
      </c>
      <c r="C144" s="26" t="s">
        <v>337</v>
      </c>
      <c r="D144" s="31">
        <f>780/1.02</f>
        <v>764.70588235294122</v>
      </c>
      <c r="E144" s="31">
        <f>514/1.02</f>
        <v>503.92156862745099</v>
      </c>
      <c r="F144" s="31">
        <v>558</v>
      </c>
      <c r="G144" s="31">
        <v>313</v>
      </c>
      <c r="H144" s="42">
        <v>158</v>
      </c>
      <c r="I144" s="31">
        <v>0</v>
      </c>
      <c r="J144" s="31">
        <v>11</v>
      </c>
      <c r="K144" s="31">
        <v>0</v>
      </c>
      <c r="L144" s="31">
        <v>176</v>
      </c>
      <c r="M144" s="31">
        <v>390</v>
      </c>
      <c r="N144" s="31">
        <v>478</v>
      </c>
      <c r="O144" s="42">
        <v>510</v>
      </c>
      <c r="P144" s="31">
        <f t="shared" si="73"/>
        <v>3862.6274509803925</v>
      </c>
      <c r="Q144" s="2"/>
      <c r="R144" s="11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4">
        <v>2019</v>
      </c>
      <c r="B145" s="41" t="s">
        <v>39</v>
      </c>
      <c r="C145" s="26" t="s">
        <v>338</v>
      </c>
      <c r="D145" s="31">
        <v>712</v>
      </c>
      <c r="E145" s="31">
        <v>664</v>
      </c>
      <c r="F145" s="31">
        <v>598</v>
      </c>
      <c r="G145" s="31">
        <v>387</v>
      </c>
      <c r="H145" s="31">
        <v>156</v>
      </c>
      <c r="I145" s="31">
        <v>20</v>
      </c>
      <c r="J145" s="31">
        <v>4</v>
      </c>
      <c r="K145" s="31">
        <v>30</v>
      </c>
      <c r="L145" s="31">
        <v>187</v>
      </c>
      <c r="M145" s="31">
        <v>375</v>
      </c>
      <c r="N145" s="31">
        <v>518</v>
      </c>
      <c r="O145" s="31">
        <v>655</v>
      </c>
      <c r="P145" s="31">
        <f t="shared" si="73"/>
        <v>4306</v>
      </c>
      <c r="Q145" s="83"/>
      <c r="R145" s="11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4">
        <v>2019</v>
      </c>
      <c r="B146" s="25" t="s">
        <v>42</v>
      </c>
      <c r="C146" s="30" t="s">
        <v>30</v>
      </c>
      <c r="D146" s="31">
        <f t="shared" ref="D146:O146" si="75">D143-D139*($Q$4)</f>
        <v>1225</v>
      </c>
      <c r="E146" s="31">
        <f t="shared" si="75"/>
        <v>971</v>
      </c>
      <c r="F146" s="31">
        <f t="shared" si="75"/>
        <v>931</v>
      </c>
      <c r="G146" s="31">
        <f t="shared" si="75"/>
        <v>540</v>
      </c>
      <c r="H146" s="31">
        <f t="shared" si="75"/>
        <v>311</v>
      </c>
      <c r="I146" s="31">
        <f t="shared" si="75"/>
        <v>-1</v>
      </c>
      <c r="J146" s="31">
        <f t="shared" si="75"/>
        <v>-38</v>
      </c>
      <c r="K146" s="31">
        <f t="shared" si="75"/>
        <v>33</v>
      </c>
      <c r="L146" s="31">
        <f t="shared" si="75"/>
        <v>279</v>
      </c>
      <c r="M146" s="31">
        <f t="shared" si="75"/>
        <v>669</v>
      </c>
      <c r="N146" s="31">
        <f t="shared" si="75"/>
        <v>879</v>
      </c>
      <c r="O146" s="31">
        <f t="shared" si="75"/>
        <v>889</v>
      </c>
      <c r="P146" s="31">
        <f t="shared" si="73"/>
        <v>6688</v>
      </c>
      <c r="Q146" s="83"/>
      <c r="R146" s="11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4">
        <v>2019</v>
      </c>
      <c r="B147" s="25" t="s">
        <v>43</v>
      </c>
      <c r="C147" s="30" t="s">
        <v>30</v>
      </c>
      <c r="D147" s="31">
        <f t="shared" ref="D147:H147" si="76">IF(D146&lt;0,0,((D145/D144))*D146)</f>
        <v>1140.5692307692307</v>
      </c>
      <c r="E147" s="31">
        <f t="shared" si="76"/>
        <v>1279.4530739299612</v>
      </c>
      <c r="F147" s="31">
        <f t="shared" si="76"/>
        <v>997.73835125448034</v>
      </c>
      <c r="G147" s="31">
        <f t="shared" si="76"/>
        <v>667.66773162939296</v>
      </c>
      <c r="H147" s="31">
        <f t="shared" si="76"/>
        <v>307.0632911392405</v>
      </c>
      <c r="I147" s="31">
        <f t="shared" ref="I147:K147" si="77">I146</f>
        <v>-1</v>
      </c>
      <c r="J147" s="31">
        <f t="shared" si="77"/>
        <v>-38</v>
      </c>
      <c r="K147" s="31">
        <f t="shared" si="77"/>
        <v>33</v>
      </c>
      <c r="L147" s="31">
        <f t="shared" ref="L147:O147" si="78">IF(L146&lt;0,0,((L145/L144))*L146)</f>
        <v>296.4375</v>
      </c>
      <c r="M147" s="31">
        <f t="shared" si="78"/>
        <v>643.26923076923083</v>
      </c>
      <c r="N147" s="31">
        <f t="shared" si="78"/>
        <v>952.55648535564853</v>
      </c>
      <c r="O147" s="31">
        <f t="shared" si="78"/>
        <v>1141.7549019607843</v>
      </c>
      <c r="P147" s="40">
        <f t="shared" si="73"/>
        <v>7420.509796807969</v>
      </c>
      <c r="Q147" s="2"/>
      <c r="R147" s="11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12" t="s">
        <v>12</v>
      </c>
      <c r="B149" s="13"/>
      <c r="C149" s="14"/>
      <c r="D149" s="15" t="s">
        <v>13</v>
      </c>
      <c r="E149" s="15" t="s">
        <v>14</v>
      </c>
      <c r="F149" s="15" t="s">
        <v>15</v>
      </c>
      <c r="G149" s="15" t="s">
        <v>16</v>
      </c>
      <c r="H149" s="15" t="s">
        <v>17</v>
      </c>
      <c r="I149" s="15" t="s">
        <v>18</v>
      </c>
      <c r="J149" s="16" t="s">
        <v>19</v>
      </c>
      <c r="K149" s="15" t="s">
        <v>20</v>
      </c>
      <c r="L149" s="15" t="s">
        <v>21</v>
      </c>
      <c r="M149" s="15" t="s">
        <v>22</v>
      </c>
      <c r="N149" s="15" t="s">
        <v>23</v>
      </c>
      <c r="O149" s="15" t="s">
        <v>24</v>
      </c>
      <c r="P149" s="15" t="s">
        <v>25</v>
      </c>
      <c r="Q149" s="2"/>
      <c r="R149" s="9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12"/>
      <c r="B150" s="13"/>
      <c r="C150" s="14"/>
      <c r="D150" s="77">
        <v>31</v>
      </c>
      <c r="E150" s="77">
        <v>29</v>
      </c>
      <c r="F150" s="77">
        <v>31</v>
      </c>
      <c r="G150" s="77">
        <v>30</v>
      </c>
      <c r="H150" s="77">
        <v>31</v>
      </c>
      <c r="I150" s="77">
        <v>30</v>
      </c>
      <c r="J150" s="78">
        <v>31</v>
      </c>
      <c r="K150" s="77">
        <v>31</v>
      </c>
      <c r="L150" s="77">
        <v>30</v>
      </c>
      <c r="M150" s="77">
        <v>31</v>
      </c>
      <c r="N150" s="77">
        <v>30</v>
      </c>
      <c r="O150" s="77">
        <v>31</v>
      </c>
      <c r="P150" s="15">
        <f>SUM(D150:O150)</f>
        <v>366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4">
        <v>2020</v>
      </c>
      <c r="B151" s="25" t="s">
        <v>27</v>
      </c>
      <c r="C151" s="26" t="s">
        <v>339</v>
      </c>
      <c r="D151" s="27">
        <v>1.4</v>
      </c>
      <c r="E151" s="27">
        <v>0</v>
      </c>
      <c r="F151" s="27">
        <v>1.1000000000000001</v>
      </c>
      <c r="G151" s="27">
        <v>3.9</v>
      </c>
      <c r="H151" s="27">
        <v>8.5</v>
      </c>
      <c r="I151" s="27">
        <v>17.8</v>
      </c>
      <c r="J151" s="27">
        <v>15.6</v>
      </c>
      <c r="K151" s="27">
        <v>16.100000000000001</v>
      </c>
      <c r="L151" s="27">
        <v>12.4</v>
      </c>
      <c r="M151" s="27">
        <v>7.8</v>
      </c>
      <c r="N151" s="27">
        <v>4.0999999999999996</v>
      </c>
      <c r="O151" s="27">
        <v>0.5</v>
      </c>
      <c r="P151" s="27">
        <f>AVERAGE(D151:O151)</f>
        <v>7.4333333333333336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4">
        <v>2020</v>
      </c>
      <c r="B152" s="25" t="s">
        <v>29</v>
      </c>
      <c r="C152" s="30" t="s">
        <v>30</v>
      </c>
      <c r="D152" s="31">
        <v>684</v>
      </c>
      <c r="E152" s="31">
        <v>647</v>
      </c>
      <c r="F152" s="31">
        <v>628</v>
      </c>
      <c r="G152" s="31">
        <v>434</v>
      </c>
      <c r="H152" s="31">
        <v>339</v>
      </c>
      <c r="I152" s="42">
        <v>125</v>
      </c>
      <c r="J152" s="42">
        <v>124</v>
      </c>
      <c r="K152" s="31">
        <v>136</v>
      </c>
      <c r="L152" s="31">
        <v>211</v>
      </c>
      <c r="M152" s="31">
        <v>405</v>
      </c>
      <c r="N152" s="31">
        <v>551</v>
      </c>
      <c r="O152" s="31">
        <v>735</v>
      </c>
      <c r="P152" s="31">
        <f t="shared" ref="P152:P158" si="79">SUM(D152:O152)</f>
        <v>5019</v>
      </c>
      <c r="Q152" s="2"/>
      <c r="R152" s="11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4">
        <v>2020</v>
      </c>
      <c r="B153" s="25" t="s">
        <v>31</v>
      </c>
      <c r="C153" s="30" t="s">
        <v>30</v>
      </c>
      <c r="D153" s="31">
        <v>542</v>
      </c>
      <c r="E153" s="31">
        <v>509</v>
      </c>
      <c r="F153" s="31">
        <v>547</v>
      </c>
      <c r="G153" s="31">
        <v>414</v>
      </c>
      <c r="H153" s="31">
        <v>360</v>
      </c>
      <c r="I153" s="42">
        <v>208</v>
      </c>
      <c r="J153" s="42">
        <v>160</v>
      </c>
      <c r="K153" s="31">
        <v>224</v>
      </c>
      <c r="L153" s="31">
        <v>264</v>
      </c>
      <c r="M153" s="31">
        <v>380</v>
      </c>
      <c r="N153" s="31">
        <v>447</v>
      </c>
      <c r="O153" s="31">
        <v>548</v>
      </c>
      <c r="P153" s="31">
        <f t="shared" si="79"/>
        <v>4603</v>
      </c>
      <c r="Q153" s="2"/>
      <c r="R153" s="11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4">
        <v>2020</v>
      </c>
      <c r="B154" s="25" t="s">
        <v>32</v>
      </c>
      <c r="C154" s="30" t="s">
        <v>30</v>
      </c>
      <c r="D154" s="31">
        <f t="shared" ref="D154:O154" si="80">SUM(D152:D153)</f>
        <v>1226</v>
      </c>
      <c r="E154" s="31">
        <f t="shared" si="80"/>
        <v>1156</v>
      </c>
      <c r="F154" s="31">
        <f t="shared" si="80"/>
        <v>1175</v>
      </c>
      <c r="G154" s="31">
        <f t="shared" si="80"/>
        <v>848</v>
      </c>
      <c r="H154" s="31">
        <f t="shared" si="80"/>
        <v>699</v>
      </c>
      <c r="I154" s="31">
        <f t="shared" si="80"/>
        <v>333</v>
      </c>
      <c r="J154" s="31">
        <f t="shared" si="80"/>
        <v>284</v>
      </c>
      <c r="K154" s="31">
        <f t="shared" si="80"/>
        <v>360</v>
      </c>
      <c r="L154" s="31">
        <f t="shared" si="80"/>
        <v>475</v>
      </c>
      <c r="M154" s="31">
        <f t="shared" si="80"/>
        <v>785</v>
      </c>
      <c r="N154" s="31">
        <f t="shared" si="80"/>
        <v>998</v>
      </c>
      <c r="O154" s="31">
        <f t="shared" si="80"/>
        <v>1283</v>
      </c>
      <c r="P154" s="40">
        <f t="shared" si="79"/>
        <v>9622</v>
      </c>
      <c r="Q154" s="2"/>
      <c r="R154" s="11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4">
        <v>2020</v>
      </c>
      <c r="B155" s="41" t="s">
        <v>36</v>
      </c>
      <c r="C155" s="26" t="s">
        <v>340</v>
      </c>
      <c r="D155" s="31">
        <f>500/1.02</f>
        <v>490.19607843137254</v>
      </c>
      <c r="E155" s="31">
        <f>509/1.02</f>
        <v>499.01960784313724</v>
      </c>
      <c r="F155" s="31">
        <f>496/1.02</f>
        <v>486.27450980392155</v>
      </c>
      <c r="G155" s="31">
        <f>403/1.02</f>
        <v>395.09803921568624</v>
      </c>
      <c r="H155" s="31">
        <f>199/1.02</f>
        <v>195.09803921568627</v>
      </c>
      <c r="I155" s="31">
        <v>0</v>
      </c>
      <c r="J155" s="31">
        <f>5/1.02</f>
        <v>4.9019607843137258</v>
      </c>
      <c r="K155" s="31">
        <f>11/1.02</f>
        <v>10.784313725490195</v>
      </c>
      <c r="L155" s="31">
        <v>94</v>
      </c>
      <c r="M155" s="31">
        <v>279</v>
      </c>
      <c r="N155" s="31">
        <v>393</v>
      </c>
      <c r="O155" s="42">
        <f>531/1.02</f>
        <v>520.58823529411768</v>
      </c>
      <c r="P155" s="31">
        <f t="shared" si="79"/>
        <v>3367.9607843137255</v>
      </c>
      <c r="Q155" s="2"/>
      <c r="R155" s="11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4">
        <v>2020</v>
      </c>
      <c r="B156" s="41" t="s">
        <v>39</v>
      </c>
      <c r="C156" s="26" t="s">
        <v>341</v>
      </c>
      <c r="D156" s="31">
        <v>712</v>
      </c>
      <c r="E156" s="31">
        <v>664</v>
      </c>
      <c r="F156" s="31">
        <v>598</v>
      </c>
      <c r="G156" s="31">
        <v>387</v>
      </c>
      <c r="H156" s="31">
        <v>156</v>
      </c>
      <c r="I156" s="31">
        <v>20</v>
      </c>
      <c r="J156" s="31">
        <v>4</v>
      </c>
      <c r="K156" s="31">
        <v>30</v>
      </c>
      <c r="L156" s="31">
        <v>187</v>
      </c>
      <c r="M156" s="31">
        <v>375</v>
      </c>
      <c r="N156" s="31">
        <v>518</v>
      </c>
      <c r="O156" s="31">
        <v>655</v>
      </c>
      <c r="P156" s="31">
        <f t="shared" si="79"/>
        <v>4306</v>
      </c>
      <c r="Q156" s="83"/>
      <c r="R156" s="11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4">
        <v>2020</v>
      </c>
      <c r="B157" s="25" t="s">
        <v>42</v>
      </c>
      <c r="C157" s="30" t="s">
        <v>30</v>
      </c>
      <c r="D157" s="31">
        <f t="shared" ref="D157:O157" si="81">D154-D150*($T$3)</f>
        <v>885</v>
      </c>
      <c r="E157" s="31">
        <f t="shared" si="81"/>
        <v>837</v>
      </c>
      <c r="F157" s="31">
        <f t="shared" si="81"/>
        <v>834</v>
      </c>
      <c r="G157" s="31">
        <f t="shared" si="81"/>
        <v>518</v>
      </c>
      <c r="H157" s="31">
        <f t="shared" si="81"/>
        <v>358</v>
      </c>
      <c r="I157" s="31">
        <f t="shared" si="81"/>
        <v>3</v>
      </c>
      <c r="J157" s="31">
        <f t="shared" si="81"/>
        <v>-57</v>
      </c>
      <c r="K157" s="31">
        <f t="shared" si="81"/>
        <v>19</v>
      </c>
      <c r="L157" s="31">
        <f t="shared" si="81"/>
        <v>145</v>
      </c>
      <c r="M157" s="31">
        <f t="shared" si="81"/>
        <v>444</v>
      </c>
      <c r="N157" s="31">
        <f t="shared" si="81"/>
        <v>668</v>
      </c>
      <c r="O157" s="31">
        <f t="shared" si="81"/>
        <v>942</v>
      </c>
      <c r="P157" s="31">
        <f t="shared" si="79"/>
        <v>5596</v>
      </c>
      <c r="Q157" s="83"/>
      <c r="R157" s="11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4">
        <v>2020</v>
      </c>
      <c r="B158" s="25" t="s">
        <v>43</v>
      </c>
      <c r="C158" s="30" t="s">
        <v>30</v>
      </c>
      <c r="D158" s="31">
        <f t="shared" ref="D158:H158" si="82">IF(D157&lt;0,0,((D156/D155))*D157)</f>
        <v>1285.4448</v>
      </c>
      <c r="E158" s="31">
        <f t="shared" si="82"/>
        <v>1113.7197642436149</v>
      </c>
      <c r="F158" s="31">
        <f t="shared" si="82"/>
        <v>1025.6182258064516</v>
      </c>
      <c r="G158" s="31">
        <f t="shared" si="82"/>
        <v>507.38292803970228</v>
      </c>
      <c r="H158" s="31">
        <f t="shared" si="82"/>
        <v>286.25608040201007</v>
      </c>
      <c r="I158" s="31">
        <f t="shared" ref="I158:K158" si="83">I157</f>
        <v>3</v>
      </c>
      <c r="J158" s="31">
        <f t="shared" si="83"/>
        <v>-57</v>
      </c>
      <c r="K158" s="31">
        <f t="shared" si="83"/>
        <v>19</v>
      </c>
      <c r="L158" s="31">
        <f t="shared" ref="L158:O158" si="84">IF(L157&lt;0,0,((L156/L155))*L157)</f>
        <v>288.45744680851061</v>
      </c>
      <c r="M158" s="31">
        <f t="shared" si="84"/>
        <v>596.77419354838707</v>
      </c>
      <c r="N158" s="31">
        <f t="shared" si="84"/>
        <v>880.46819338422381</v>
      </c>
      <c r="O158" s="31">
        <f t="shared" si="84"/>
        <v>1185.2169491525424</v>
      </c>
      <c r="P158" s="40">
        <f t="shared" si="79"/>
        <v>7134.3385813854438</v>
      </c>
      <c r="Q158" s="2"/>
      <c r="R158" s="11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12" t="s">
        <v>12</v>
      </c>
      <c r="B160" s="13"/>
      <c r="C160" s="14"/>
      <c r="D160" s="15" t="s">
        <v>13</v>
      </c>
      <c r="E160" s="15" t="s">
        <v>14</v>
      </c>
      <c r="F160" s="15" t="s">
        <v>15</v>
      </c>
      <c r="G160" s="15" t="s">
        <v>16</v>
      </c>
      <c r="H160" s="15" t="s">
        <v>17</v>
      </c>
      <c r="I160" s="15" t="s">
        <v>18</v>
      </c>
      <c r="J160" s="16" t="s">
        <v>19</v>
      </c>
      <c r="K160" s="15" t="s">
        <v>20</v>
      </c>
      <c r="L160" s="15" t="s">
        <v>21</v>
      </c>
      <c r="M160" s="15" t="s">
        <v>22</v>
      </c>
      <c r="N160" s="15" t="s">
        <v>23</v>
      </c>
      <c r="O160" s="15" t="s">
        <v>24</v>
      </c>
      <c r="P160" s="15" t="s">
        <v>25</v>
      </c>
      <c r="Q160" s="2"/>
      <c r="R160" s="9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12"/>
      <c r="B161" s="13"/>
      <c r="C161" s="14"/>
      <c r="D161" s="77">
        <v>31</v>
      </c>
      <c r="E161" s="77">
        <v>28</v>
      </c>
      <c r="F161" s="77">
        <v>31</v>
      </c>
      <c r="G161" s="77">
        <v>30</v>
      </c>
      <c r="H161" s="77">
        <v>31</v>
      </c>
      <c r="I161" s="77">
        <v>30</v>
      </c>
      <c r="J161" s="78">
        <v>31</v>
      </c>
      <c r="K161" s="77">
        <v>31</v>
      </c>
      <c r="L161" s="77">
        <v>30</v>
      </c>
      <c r="M161" s="77">
        <v>31</v>
      </c>
      <c r="N161" s="77">
        <v>30</v>
      </c>
      <c r="O161" s="77">
        <v>31</v>
      </c>
      <c r="P161" s="15">
        <f>SUM(D161:O161)</f>
        <v>365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4">
        <v>2021</v>
      </c>
      <c r="B162" s="25" t="s">
        <v>27</v>
      </c>
      <c r="C162" s="26" t="s">
        <v>342</v>
      </c>
      <c r="D162" s="27">
        <v>-4.8</v>
      </c>
      <c r="E162" s="27">
        <v>-8.4</v>
      </c>
      <c r="F162" s="27">
        <v>-1.1000000000000001</v>
      </c>
      <c r="G162" s="27">
        <v>4.5</v>
      </c>
      <c r="H162" s="27">
        <v>10.4</v>
      </c>
      <c r="I162" s="27">
        <v>19.2</v>
      </c>
      <c r="J162" s="27">
        <v>20.6</v>
      </c>
      <c r="K162" s="27">
        <v>15.2</v>
      </c>
      <c r="L162" s="27">
        <v>9.1999999999999993</v>
      </c>
      <c r="M162" s="27">
        <v>7.8</v>
      </c>
      <c r="N162" s="27">
        <v>1.1000000000000001</v>
      </c>
      <c r="O162" s="27">
        <v>-6.9</v>
      </c>
      <c r="P162" s="27">
        <f>AVERAGE(D162:O162)</f>
        <v>5.5666666666666664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4">
        <v>2021</v>
      </c>
      <c r="B163" s="25" t="s">
        <v>29</v>
      </c>
      <c r="C163" s="30" t="s">
        <v>30</v>
      </c>
      <c r="D163" s="31">
        <v>860</v>
      </c>
      <c r="E163" s="31">
        <v>799</v>
      </c>
      <c r="F163" s="31">
        <v>705</v>
      </c>
      <c r="G163" s="31">
        <v>484</v>
      </c>
      <c r="H163" s="31">
        <v>297</v>
      </c>
      <c r="I163" s="42">
        <v>132</v>
      </c>
      <c r="J163" s="42">
        <v>134</v>
      </c>
      <c r="K163" s="31">
        <v>162</v>
      </c>
      <c r="L163" s="31">
        <v>327</v>
      </c>
      <c r="M163" s="31">
        <v>347</v>
      </c>
      <c r="N163" s="31">
        <v>380</v>
      </c>
      <c r="O163" s="31">
        <v>663</v>
      </c>
      <c r="P163" s="31">
        <f t="shared" ref="P163:P169" si="85">SUM(D163:O163)</f>
        <v>5290</v>
      </c>
      <c r="Q163" s="2"/>
      <c r="R163" s="11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4">
        <v>2021</v>
      </c>
      <c r="B164" s="25" t="s">
        <v>31</v>
      </c>
      <c r="C164" s="30" t="s">
        <v>30</v>
      </c>
      <c r="D164" s="31">
        <v>641</v>
      </c>
      <c r="E164" s="31">
        <v>595</v>
      </c>
      <c r="F164" s="31">
        <v>572</v>
      </c>
      <c r="G164" s="31">
        <v>440</v>
      </c>
      <c r="H164" s="31">
        <v>328</v>
      </c>
      <c r="I164" s="42">
        <v>217</v>
      </c>
      <c r="J164" s="42">
        <v>231</v>
      </c>
      <c r="K164" s="31">
        <v>243</v>
      </c>
      <c r="L164" s="31">
        <v>342</v>
      </c>
      <c r="M164" s="31">
        <v>342</v>
      </c>
      <c r="N164" s="31">
        <v>368</v>
      </c>
      <c r="O164" s="31">
        <v>564</v>
      </c>
      <c r="P164" s="31">
        <f t="shared" si="85"/>
        <v>4883</v>
      </c>
      <c r="Q164" s="2"/>
      <c r="R164" s="11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4">
        <v>2021</v>
      </c>
      <c r="B165" s="25" t="s">
        <v>32</v>
      </c>
      <c r="C165" s="30" t="s">
        <v>30</v>
      </c>
      <c r="D165" s="31">
        <f t="shared" ref="D165:O165" si="86">SUM(D163:D164)</f>
        <v>1501</v>
      </c>
      <c r="E165" s="31">
        <f t="shared" si="86"/>
        <v>1394</v>
      </c>
      <c r="F165" s="31">
        <f t="shared" si="86"/>
        <v>1277</v>
      </c>
      <c r="G165" s="31">
        <f t="shared" si="86"/>
        <v>924</v>
      </c>
      <c r="H165" s="31">
        <f t="shared" si="86"/>
        <v>625</v>
      </c>
      <c r="I165" s="31">
        <f t="shared" si="86"/>
        <v>349</v>
      </c>
      <c r="J165" s="31">
        <f t="shared" si="86"/>
        <v>365</v>
      </c>
      <c r="K165" s="31">
        <f t="shared" si="86"/>
        <v>405</v>
      </c>
      <c r="L165" s="31">
        <f t="shared" si="86"/>
        <v>669</v>
      </c>
      <c r="M165" s="31">
        <f t="shared" si="86"/>
        <v>689</v>
      </c>
      <c r="N165" s="31">
        <f t="shared" si="86"/>
        <v>748</v>
      </c>
      <c r="O165" s="31">
        <f t="shared" si="86"/>
        <v>1227</v>
      </c>
      <c r="P165" s="40">
        <f t="shared" si="85"/>
        <v>10173</v>
      </c>
      <c r="Q165" s="2"/>
      <c r="R165" s="11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4">
        <v>2021</v>
      </c>
      <c r="B166" s="41" t="s">
        <v>36</v>
      </c>
      <c r="C166" s="26" t="s">
        <v>343</v>
      </c>
      <c r="D166" s="31">
        <f>693/1.02</f>
        <v>679.41176470588232</v>
      </c>
      <c r="E166" s="31">
        <f>722/1.02</f>
        <v>707.84313725490199</v>
      </c>
      <c r="F166" s="31">
        <v>565</v>
      </c>
      <c r="G166" s="31">
        <f>387/1.02</f>
        <v>379.41176470588232</v>
      </c>
      <c r="H166" s="31">
        <f>161/1.02</f>
        <v>157.84313725490196</v>
      </c>
      <c r="I166" s="31">
        <v>0</v>
      </c>
      <c r="J166" s="31">
        <v>0</v>
      </c>
      <c r="K166" s="31">
        <v>20</v>
      </c>
      <c r="L166" s="31">
        <f>227/1.02</f>
        <v>222.54901960784312</v>
      </c>
      <c r="M166" s="31">
        <v>299</v>
      </c>
      <c r="N166" s="31">
        <v>478</v>
      </c>
      <c r="O166" s="42">
        <v>749</v>
      </c>
      <c r="P166" s="31">
        <f t="shared" si="85"/>
        <v>4258.0588235294117</v>
      </c>
      <c r="Q166" s="2"/>
      <c r="R166" s="11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4">
        <v>2021</v>
      </c>
      <c r="B167" s="41" t="s">
        <v>39</v>
      </c>
      <c r="C167" s="26" t="s">
        <v>344</v>
      </c>
      <c r="D167" s="31">
        <v>712</v>
      </c>
      <c r="E167" s="31">
        <v>664</v>
      </c>
      <c r="F167" s="31">
        <v>598</v>
      </c>
      <c r="G167" s="31">
        <v>387</v>
      </c>
      <c r="H167" s="31">
        <v>156</v>
      </c>
      <c r="I167" s="31">
        <v>20</v>
      </c>
      <c r="J167" s="31">
        <v>4</v>
      </c>
      <c r="K167" s="31">
        <v>30</v>
      </c>
      <c r="L167" s="31">
        <v>187</v>
      </c>
      <c r="M167" s="31">
        <v>375</v>
      </c>
      <c r="N167" s="31">
        <v>518</v>
      </c>
      <c r="O167" s="31">
        <v>655</v>
      </c>
      <c r="P167" s="31">
        <f t="shared" si="85"/>
        <v>4306</v>
      </c>
      <c r="Q167" s="83"/>
      <c r="R167" s="11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4">
        <v>2021</v>
      </c>
      <c r="B168" s="25" t="s">
        <v>42</v>
      </c>
      <c r="C168" s="30" t="s">
        <v>30</v>
      </c>
      <c r="D168" s="31">
        <f t="shared" ref="D168:O168" si="87">D165-D161*($T$3)</f>
        <v>1160</v>
      </c>
      <c r="E168" s="31">
        <f t="shared" si="87"/>
        <v>1086</v>
      </c>
      <c r="F168" s="31">
        <f t="shared" si="87"/>
        <v>936</v>
      </c>
      <c r="G168" s="31">
        <f t="shared" si="87"/>
        <v>594</v>
      </c>
      <c r="H168" s="31">
        <f t="shared" si="87"/>
        <v>284</v>
      </c>
      <c r="I168" s="46">
        <f t="shared" si="87"/>
        <v>19</v>
      </c>
      <c r="J168" s="46">
        <f t="shared" si="87"/>
        <v>24</v>
      </c>
      <c r="K168" s="46">
        <f t="shared" si="87"/>
        <v>64</v>
      </c>
      <c r="L168" s="46">
        <f t="shared" si="87"/>
        <v>339</v>
      </c>
      <c r="M168" s="46">
        <f t="shared" si="87"/>
        <v>348</v>
      </c>
      <c r="N168" s="46">
        <f t="shared" si="87"/>
        <v>418</v>
      </c>
      <c r="O168" s="46">
        <f t="shared" si="87"/>
        <v>886</v>
      </c>
      <c r="P168" s="31">
        <f t="shared" si="85"/>
        <v>6158</v>
      </c>
      <c r="Q168" s="83"/>
      <c r="R168" s="11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4">
        <v>2021</v>
      </c>
      <c r="B169" s="25" t="s">
        <v>43</v>
      </c>
      <c r="C169" s="30" t="s">
        <v>30</v>
      </c>
      <c r="D169" s="31">
        <f t="shared" ref="D169:H169" si="88">IF(D168&lt;0,0,((D167/D166))*D168)</f>
        <v>1215.6398268398268</v>
      </c>
      <c r="E169" s="31">
        <f t="shared" si="88"/>
        <v>1018.7341828254847</v>
      </c>
      <c r="F169" s="31">
        <f t="shared" si="88"/>
        <v>990.66902654867249</v>
      </c>
      <c r="G169" s="31">
        <f t="shared" si="88"/>
        <v>605.88</v>
      </c>
      <c r="H169" s="31">
        <f t="shared" si="88"/>
        <v>280.68372670807452</v>
      </c>
      <c r="I169" s="31">
        <f t="shared" ref="I169:K169" si="89">I168</f>
        <v>19</v>
      </c>
      <c r="J169" s="31">
        <f t="shared" si="89"/>
        <v>24</v>
      </c>
      <c r="K169" s="31">
        <f t="shared" si="89"/>
        <v>64</v>
      </c>
      <c r="L169" s="31">
        <f t="shared" ref="L169:O169" si="90">IF(L168&lt;0,0,((L167/L166))*L168)</f>
        <v>284.84960352422911</v>
      </c>
      <c r="M169" s="31">
        <f t="shared" si="90"/>
        <v>436.4548494983278</v>
      </c>
      <c r="N169" s="31">
        <f t="shared" si="90"/>
        <v>452.97907949790795</v>
      </c>
      <c r="O169" s="31">
        <f t="shared" si="90"/>
        <v>774.80640854472631</v>
      </c>
      <c r="P169" s="40">
        <f t="shared" si="85"/>
        <v>6167.6967039872507</v>
      </c>
      <c r="Q169" s="2"/>
      <c r="R169" s="11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89"/>
      <c r="B170" s="2"/>
      <c r="C170" s="2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91"/>
      <c r="Q170" s="2"/>
      <c r="R170" s="11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12" t="s">
        <v>12</v>
      </c>
      <c r="B171" s="13"/>
      <c r="C171" s="14"/>
      <c r="D171" s="15" t="s">
        <v>13</v>
      </c>
      <c r="E171" s="15" t="s">
        <v>14</v>
      </c>
      <c r="F171" s="15" t="s">
        <v>15</v>
      </c>
      <c r="G171" s="15" t="s">
        <v>16</v>
      </c>
      <c r="H171" s="15" t="s">
        <v>17</v>
      </c>
      <c r="I171" s="15" t="s">
        <v>18</v>
      </c>
      <c r="J171" s="16" t="s">
        <v>19</v>
      </c>
      <c r="K171" s="15" t="s">
        <v>20</v>
      </c>
      <c r="L171" s="15" t="s">
        <v>21</v>
      </c>
      <c r="M171" s="15" t="s">
        <v>22</v>
      </c>
      <c r="N171" s="15" t="s">
        <v>23</v>
      </c>
      <c r="O171" s="15" t="s">
        <v>24</v>
      </c>
      <c r="P171" s="15" t="s">
        <v>25</v>
      </c>
      <c r="Q171" s="2"/>
      <c r="R171" s="11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12"/>
      <c r="B172" s="13"/>
      <c r="C172" s="14"/>
      <c r="D172" s="77">
        <v>31</v>
      </c>
      <c r="E172" s="77">
        <v>28</v>
      </c>
      <c r="F172" s="77">
        <v>31</v>
      </c>
      <c r="G172" s="77">
        <v>30</v>
      </c>
      <c r="H172" s="77">
        <v>31</v>
      </c>
      <c r="I172" s="77">
        <v>30</v>
      </c>
      <c r="J172" s="78">
        <v>31</v>
      </c>
      <c r="K172" s="77">
        <v>31</v>
      </c>
      <c r="L172" s="77">
        <v>30</v>
      </c>
      <c r="M172" s="77">
        <v>31</v>
      </c>
      <c r="N172" s="77">
        <v>30</v>
      </c>
      <c r="O172" s="77">
        <v>31</v>
      </c>
      <c r="P172" s="15">
        <f>SUM(D172:O172)</f>
        <v>365</v>
      </c>
      <c r="Q172" s="2"/>
      <c r="R172" s="11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4">
        <v>2022</v>
      </c>
      <c r="B173" s="25" t="s">
        <v>27</v>
      </c>
      <c r="C173" s="26" t="s">
        <v>345</v>
      </c>
      <c r="D173" s="27">
        <v>-3.5</v>
      </c>
      <c r="E173" s="27">
        <v>-2.5</v>
      </c>
      <c r="F173" s="27">
        <v>-0.3</v>
      </c>
      <c r="G173" s="27">
        <v>3.1</v>
      </c>
      <c r="H173" s="27">
        <v>9.8000000000000007</v>
      </c>
      <c r="I173" s="27">
        <v>16.8</v>
      </c>
      <c r="J173" s="27">
        <v>17.2</v>
      </c>
      <c r="K173" s="27">
        <v>18.100000000000001</v>
      </c>
      <c r="L173" s="27">
        <v>8.1999999999999993</v>
      </c>
      <c r="M173" s="27">
        <v>6.8</v>
      </c>
      <c r="N173" s="27">
        <v>1.8</v>
      </c>
      <c r="O173" s="27">
        <v>-4.4000000000000004</v>
      </c>
      <c r="P173" s="27">
        <f>AVERAGE(D173:O173)</f>
        <v>5.9249999999999998</v>
      </c>
      <c r="Q173" s="2"/>
      <c r="R173" s="11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4">
        <v>2022</v>
      </c>
      <c r="B174" s="25" t="s">
        <v>29</v>
      </c>
      <c r="C174" s="30" t="s">
        <v>30</v>
      </c>
      <c r="D174" s="31">
        <v>647</v>
      </c>
      <c r="E174" s="31">
        <v>531</v>
      </c>
      <c r="F174" s="31">
        <v>445</v>
      </c>
      <c r="G174" s="31">
        <v>346</v>
      </c>
      <c r="H174" s="31">
        <v>247</v>
      </c>
      <c r="I174" s="42">
        <v>157</v>
      </c>
      <c r="J174" s="42">
        <v>115</v>
      </c>
      <c r="K174" s="31">
        <v>144</v>
      </c>
      <c r="L174" s="31">
        <v>219</v>
      </c>
      <c r="M174" s="31">
        <v>290</v>
      </c>
      <c r="N174" s="31">
        <v>428</v>
      </c>
      <c r="O174" s="31">
        <v>582</v>
      </c>
      <c r="P174" s="31">
        <f t="shared" ref="P174:P180" si="91">SUM(D174:O174)</f>
        <v>4151</v>
      </c>
      <c r="Q174" s="2"/>
      <c r="R174" s="11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4">
        <v>2022</v>
      </c>
      <c r="B175" s="25" t="s">
        <v>31</v>
      </c>
      <c r="C175" s="30" t="s">
        <v>30</v>
      </c>
      <c r="D175" s="31">
        <v>516</v>
      </c>
      <c r="E175" s="31">
        <v>436</v>
      </c>
      <c r="F175" s="31">
        <v>414</v>
      </c>
      <c r="G175" s="31">
        <v>342</v>
      </c>
      <c r="H175" s="31">
        <v>290</v>
      </c>
      <c r="I175" s="42">
        <v>222</v>
      </c>
      <c r="J175" s="42">
        <v>155</v>
      </c>
      <c r="K175" s="31">
        <v>237</v>
      </c>
      <c r="L175" s="31">
        <v>254</v>
      </c>
      <c r="M175" s="31">
        <v>290</v>
      </c>
      <c r="N175" s="31">
        <v>371</v>
      </c>
      <c r="O175" s="31">
        <v>468</v>
      </c>
      <c r="P175" s="31">
        <f t="shared" si="91"/>
        <v>3995</v>
      </c>
      <c r="Q175" s="2"/>
      <c r="R175" s="11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4">
        <v>2022</v>
      </c>
      <c r="B176" s="25" t="s">
        <v>32</v>
      </c>
      <c r="C176" s="30" t="s">
        <v>30</v>
      </c>
      <c r="D176" s="31">
        <f t="shared" ref="D176:O176" si="92">SUM(D174:D175)</f>
        <v>1163</v>
      </c>
      <c r="E176" s="31">
        <f t="shared" si="92"/>
        <v>967</v>
      </c>
      <c r="F176" s="31">
        <f t="shared" si="92"/>
        <v>859</v>
      </c>
      <c r="G176" s="31">
        <f t="shared" si="92"/>
        <v>688</v>
      </c>
      <c r="H176" s="31">
        <f t="shared" si="92"/>
        <v>537</v>
      </c>
      <c r="I176" s="31">
        <f t="shared" si="92"/>
        <v>379</v>
      </c>
      <c r="J176" s="31">
        <f t="shared" si="92"/>
        <v>270</v>
      </c>
      <c r="K176" s="31">
        <f t="shared" si="92"/>
        <v>381</v>
      </c>
      <c r="L176" s="31">
        <f t="shared" si="92"/>
        <v>473</v>
      </c>
      <c r="M176" s="31">
        <f t="shared" si="92"/>
        <v>580</v>
      </c>
      <c r="N176" s="31">
        <f t="shared" si="92"/>
        <v>799</v>
      </c>
      <c r="O176" s="31">
        <f t="shared" si="92"/>
        <v>1050</v>
      </c>
      <c r="P176" s="40">
        <f t="shared" si="91"/>
        <v>8146</v>
      </c>
      <c r="Q176" s="2"/>
      <c r="R176" s="11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4">
        <v>2022</v>
      </c>
      <c r="B177" s="41" t="s">
        <v>36</v>
      </c>
      <c r="C177" s="26" t="s">
        <v>346</v>
      </c>
      <c r="D177" s="31">
        <v>653</v>
      </c>
      <c r="E177" s="31">
        <f>558/1.02</f>
        <v>547.05882352941171</v>
      </c>
      <c r="F177" s="31">
        <v>537</v>
      </c>
      <c r="G177" s="31">
        <v>412</v>
      </c>
      <c r="H177" s="31">
        <v>142</v>
      </c>
      <c r="I177" s="31">
        <v>0</v>
      </c>
      <c r="J177" s="31">
        <v>0</v>
      </c>
      <c r="K177" s="31">
        <v>0</v>
      </c>
      <c r="L177" s="31">
        <v>228</v>
      </c>
      <c r="M177" s="31">
        <v>315</v>
      </c>
      <c r="N177" s="31">
        <v>461</v>
      </c>
      <c r="O177" s="42">
        <v>649</v>
      </c>
      <c r="P177" s="31">
        <f t="shared" si="91"/>
        <v>3944.0588235294117</v>
      </c>
      <c r="Q177" s="2"/>
      <c r="R177" s="11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4">
        <v>2022</v>
      </c>
      <c r="B178" s="41" t="s">
        <v>39</v>
      </c>
      <c r="C178" s="26" t="s">
        <v>347</v>
      </c>
      <c r="D178" s="31">
        <v>712</v>
      </c>
      <c r="E178" s="31">
        <v>664</v>
      </c>
      <c r="F178" s="31">
        <v>598</v>
      </c>
      <c r="G178" s="31">
        <v>387</v>
      </c>
      <c r="H178" s="31">
        <v>156</v>
      </c>
      <c r="I178" s="31">
        <v>20</v>
      </c>
      <c r="J178" s="31">
        <v>4</v>
      </c>
      <c r="K178" s="31">
        <v>30</v>
      </c>
      <c r="L178" s="31">
        <v>187</v>
      </c>
      <c r="M178" s="31">
        <v>375</v>
      </c>
      <c r="N178" s="31">
        <v>518</v>
      </c>
      <c r="O178" s="31">
        <v>655</v>
      </c>
      <c r="P178" s="31">
        <f t="shared" si="91"/>
        <v>4306</v>
      </c>
      <c r="Q178" s="83"/>
      <c r="R178" s="11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4">
        <v>2022</v>
      </c>
      <c r="B179" s="25" t="s">
        <v>42</v>
      </c>
      <c r="C179" s="30" t="s">
        <v>30</v>
      </c>
      <c r="D179" s="46">
        <f t="shared" ref="D179:O179" si="93">D176-D172*($T$3)</f>
        <v>822</v>
      </c>
      <c r="E179" s="46">
        <f t="shared" si="93"/>
        <v>659</v>
      </c>
      <c r="F179" s="46">
        <f t="shared" si="93"/>
        <v>518</v>
      </c>
      <c r="G179" s="46">
        <f t="shared" si="93"/>
        <v>358</v>
      </c>
      <c r="H179" s="46">
        <f t="shared" si="93"/>
        <v>196</v>
      </c>
      <c r="I179" s="46">
        <f t="shared" si="93"/>
        <v>49</v>
      </c>
      <c r="J179" s="46">
        <f t="shared" si="93"/>
        <v>-71</v>
      </c>
      <c r="K179" s="46">
        <f t="shared" si="93"/>
        <v>40</v>
      </c>
      <c r="L179" s="46">
        <f t="shared" si="93"/>
        <v>143</v>
      </c>
      <c r="M179" s="46">
        <f t="shared" si="93"/>
        <v>239</v>
      </c>
      <c r="N179" s="46">
        <f t="shared" si="93"/>
        <v>469</v>
      </c>
      <c r="O179" s="46">
        <f t="shared" si="93"/>
        <v>709</v>
      </c>
      <c r="P179" s="31">
        <f t="shared" si="91"/>
        <v>4131</v>
      </c>
      <c r="Q179" s="83"/>
      <c r="R179" s="11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4">
        <v>2022</v>
      </c>
      <c r="B180" s="25" t="s">
        <v>43</v>
      </c>
      <c r="C180" s="30" t="s">
        <v>30</v>
      </c>
      <c r="D180" s="31">
        <f t="shared" ref="D180:H180" si="94">IF(D179&lt;0,0,((D178/D177))*D179)</f>
        <v>896.2695252679938</v>
      </c>
      <c r="E180" s="31">
        <f t="shared" si="94"/>
        <v>799.87010752688184</v>
      </c>
      <c r="F180" s="31">
        <f t="shared" si="94"/>
        <v>576.84171322160148</v>
      </c>
      <c r="G180" s="31">
        <f t="shared" si="94"/>
        <v>336.27669902912623</v>
      </c>
      <c r="H180" s="31">
        <f t="shared" si="94"/>
        <v>215.32394366197184</v>
      </c>
      <c r="I180" s="31">
        <f t="shared" ref="I180:K180" si="95">I179</f>
        <v>49</v>
      </c>
      <c r="J180" s="31">
        <f t="shared" si="95"/>
        <v>-71</v>
      </c>
      <c r="K180" s="31">
        <f t="shared" si="95"/>
        <v>40</v>
      </c>
      <c r="L180" s="31">
        <f t="shared" ref="L180:O180" si="96">IF(L179&lt;0,0,((L178/L177))*L179)</f>
        <v>117.28508771929825</v>
      </c>
      <c r="M180" s="31">
        <f t="shared" si="96"/>
        <v>284.52380952380952</v>
      </c>
      <c r="N180" s="31">
        <f t="shared" si="96"/>
        <v>526.9891540130152</v>
      </c>
      <c r="O180" s="31">
        <f t="shared" si="96"/>
        <v>715.55469953775037</v>
      </c>
      <c r="P180" s="40">
        <f t="shared" si="91"/>
        <v>4486.9347395014483</v>
      </c>
      <c r="Q180" s="2"/>
      <c r="R180" s="11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89"/>
      <c r="B181" s="2"/>
      <c r="C181" s="2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91"/>
      <c r="Q181" s="2"/>
      <c r="R181" s="11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12" t="s">
        <v>12</v>
      </c>
      <c r="B182" s="13"/>
      <c r="C182" s="14"/>
      <c r="D182" s="15" t="s">
        <v>13</v>
      </c>
      <c r="E182" s="15" t="s">
        <v>14</v>
      </c>
      <c r="F182" s="15" t="s">
        <v>15</v>
      </c>
      <c r="G182" s="15" t="s">
        <v>16</v>
      </c>
      <c r="H182" s="15" t="s">
        <v>17</v>
      </c>
      <c r="I182" s="15" t="s">
        <v>18</v>
      </c>
      <c r="J182" s="16" t="s">
        <v>19</v>
      </c>
      <c r="K182" s="15" t="s">
        <v>20</v>
      </c>
      <c r="L182" s="15" t="s">
        <v>21</v>
      </c>
      <c r="M182" s="15" t="s">
        <v>22</v>
      </c>
      <c r="N182" s="15" t="s">
        <v>23</v>
      </c>
      <c r="O182" s="15" t="s">
        <v>24</v>
      </c>
      <c r="P182" s="15" t="s">
        <v>25</v>
      </c>
      <c r="Q182" s="2"/>
      <c r="R182" s="9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12"/>
      <c r="B183" s="13"/>
      <c r="C183" s="14"/>
      <c r="D183" s="77">
        <v>31</v>
      </c>
      <c r="E183" s="77">
        <v>28</v>
      </c>
      <c r="F183" s="77">
        <v>31</v>
      </c>
      <c r="G183" s="77">
        <v>30</v>
      </c>
      <c r="H183" s="77">
        <v>31</v>
      </c>
      <c r="I183" s="77">
        <v>30</v>
      </c>
      <c r="J183" s="78">
        <v>31</v>
      </c>
      <c r="K183" s="77">
        <v>31</v>
      </c>
      <c r="L183" s="77">
        <v>30</v>
      </c>
      <c r="M183" s="77">
        <v>31</v>
      </c>
      <c r="N183" s="77">
        <v>30</v>
      </c>
      <c r="O183" s="77">
        <v>31</v>
      </c>
      <c r="P183" s="15">
        <f>SUM(D183:O183)</f>
        <v>365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4">
        <v>2023</v>
      </c>
      <c r="B184" s="25" t="s">
        <v>27</v>
      </c>
      <c r="C184" s="26" t="s">
        <v>348</v>
      </c>
      <c r="D184" s="27">
        <v>-2.2000000000000002</v>
      </c>
      <c r="E184" s="27">
        <v>-2.9</v>
      </c>
      <c r="F184" s="27">
        <v>-2.5</v>
      </c>
      <c r="G184" s="27">
        <v>4.9000000000000004</v>
      </c>
      <c r="H184" s="27">
        <v>10.3</v>
      </c>
      <c r="I184" s="27">
        <v>15.6</v>
      </c>
      <c r="J184" s="27">
        <v>16.2</v>
      </c>
      <c r="K184" s="27">
        <v>16.5</v>
      </c>
      <c r="L184" s="27">
        <v>14.1</v>
      </c>
      <c r="M184" s="27">
        <v>3.5</v>
      </c>
      <c r="N184" s="27">
        <v>-1.1000000000000001</v>
      </c>
      <c r="O184" s="27">
        <v>-5.7</v>
      </c>
      <c r="P184" s="27">
        <f>AVERAGE(D184:O184)</f>
        <v>5.5583333333333336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4">
        <v>2023</v>
      </c>
      <c r="B185" s="25" t="s">
        <v>29</v>
      </c>
      <c r="C185" s="30" t="s">
        <v>30</v>
      </c>
      <c r="D185" s="31">
        <v>547</v>
      </c>
      <c r="E185" s="31">
        <v>499</v>
      </c>
      <c r="F185" s="31">
        <v>487</v>
      </c>
      <c r="G185" s="31">
        <v>320</v>
      </c>
      <c r="H185" s="31">
        <v>209</v>
      </c>
      <c r="I185" s="42">
        <v>136</v>
      </c>
      <c r="J185" s="42">
        <v>128</v>
      </c>
      <c r="K185" s="31">
        <v>174</v>
      </c>
      <c r="L185" s="31">
        <v>169</v>
      </c>
      <c r="M185" s="31">
        <v>393</v>
      </c>
      <c r="N185" s="31">
        <v>551</v>
      </c>
      <c r="O185" s="31">
        <v>739</v>
      </c>
      <c r="P185" s="31">
        <f t="shared" ref="P185:P188" si="97">SUM(D185:O185)</f>
        <v>4352</v>
      </c>
      <c r="Q185" s="2"/>
      <c r="R185" s="11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4">
        <v>2023</v>
      </c>
      <c r="B186" s="25" t="s">
        <v>31</v>
      </c>
      <c r="C186" s="30" t="s">
        <v>30</v>
      </c>
      <c r="D186" s="31">
        <v>458</v>
      </c>
      <c r="E186" s="31">
        <v>423</v>
      </c>
      <c r="F186" s="31">
        <v>440</v>
      </c>
      <c r="G186" s="31">
        <v>334</v>
      </c>
      <c r="H186" s="31">
        <v>284</v>
      </c>
      <c r="I186" s="42">
        <v>188</v>
      </c>
      <c r="J186" s="42">
        <v>188</v>
      </c>
      <c r="K186" s="31">
        <v>239</v>
      </c>
      <c r="L186" s="31">
        <v>228</v>
      </c>
      <c r="M186" s="31">
        <v>382</v>
      </c>
      <c r="N186" s="31">
        <v>445</v>
      </c>
      <c r="O186" s="31">
        <v>574</v>
      </c>
      <c r="P186" s="31">
        <f t="shared" si="97"/>
        <v>4183</v>
      </c>
      <c r="Q186" s="2"/>
      <c r="R186" s="11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4">
        <v>2023</v>
      </c>
      <c r="B187" s="25" t="s">
        <v>32</v>
      </c>
      <c r="C187" s="30" t="s">
        <v>30</v>
      </c>
      <c r="D187" s="31">
        <f t="shared" ref="D187:O187" si="98">SUM(D185:D186)</f>
        <v>1005</v>
      </c>
      <c r="E187" s="31">
        <f t="shared" si="98"/>
        <v>922</v>
      </c>
      <c r="F187" s="31">
        <f t="shared" si="98"/>
        <v>927</v>
      </c>
      <c r="G187" s="31">
        <f t="shared" si="98"/>
        <v>654</v>
      </c>
      <c r="H187" s="31">
        <f t="shared" si="98"/>
        <v>493</v>
      </c>
      <c r="I187" s="31">
        <f t="shared" si="98"/>
        <v>324</v>
      </c>
      <c r="J187" s="31">
        <f t="shared" si="98"/>
        <v>316</v>
      </c>
      <c r="K187" s="31">
        <f t="shared" si="98"/>
        <v>413</v>
      </c>
      <c r="L187" s="31">
        <f t="shared" si="98"/>
        <v>397</v>
      </c>
      <c r="M187" s="31">
        <f t="shared" si="98"/>
        <v>775</v>
      </c>
      <c r="N187" s="31">
        <f t="shared" si="98"/>
        <v>996</v>
      </c>
      <c r="O187" s="31">
        <f t="shared" si="98"/>
        <v>1313</v>
      </c>
      <c r="P187" s="40">
        <f t="shared" si="97"/>
        <v>8535</v>
      </c>
      <c r="Q187" s="2"/>
      <c r="R187" s="11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4">
        <v>2023</v>
      </c>
      <c r="B188" s="41" t="s">
        <v>36</v>
      </c>
      <c r="C188" s="26" t="s">
        <v>349</v>
      </c>
      <c r="D188" s="31">
        <v>590</v>
      </c>
      <c r="E188" s="31">
        <v>558</v>
      </c>
      <c r="F188" s="31">
        <v>595</v>
      </c>
      <c r="G188" s="31">
        <v>307</v>
      </c>
      <c r="H188" s="31">
        <v>121</v>
      </c>
      <c r="I188" s="31">
        <v>37</v>
      </c>
      <c r="J188" s="31">
        <v>0</v>
      </c>
      <c r="K188" s="31">
        <v>0</v>
      </c>
      <c r="L188" s="31">
        <v>25</v>
      </c>
      <c r="M188" s="31">
        <v>413</v>
      </c>
      <c r="N188" s="31">
        <v>543</v>
      </c>
      <c r="O188" s="42">
        <v>702</v>
      </c>
      <c r="P188" s="31">
        <f t="shared" si="97"/>
        <v>3891</v>
      </c>
      <c r="Q188" s="2"/>
      <c r="R188" s="11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4">
        <v>2023</v>
      </c>
      <c r="B189" s="41" t="s">
        <v>39</v>
      </c>
      <c r="C189" s="26" t="s">
        <v>350</v>
      </c>
      <c r="D189" s="31">
        <v>693</v>
      </c>
      <c r="E189" s="31">
        <v>641</v>
      </c>
      <c r="F189" s="31">
        <v>588</v>
      </c>
      <c r="G189" s="31">
        <v>379</v>
      </c>
      <c r="H189" s="31">
        <v>154</v>
      </c>
      <c r="I189" s="31">
        <v>19</v>
      </c>
      <c r="J189" s="31">
        <v>4</v>
      </c>
      <c r="K189" s="31">
        <v>21</v>
      </c>
      <c r="L189" s="31">
        <v>165</v>
      </c>
      <c r="M189" s="31">
        <v>378</v>
      </c>
      <c r="N189" s="31">
        <v>494</v>
      </c>
      <c r="O189" s="31">
        <v>619</v>
      </c>
      <c r="P189" s="31">
        <v>4155</v>
      </c>
      <c r="Q189" s="83"/>
      <c r="R189" s="11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4">
        <v>2023</v>
      </c>
      <c r="B190" s="25" t="s">
        <v>42</v>
      </c>
      <c r="C190" s="30" t="s">
        <v>30</v>
      </c>
      <c r="D190" s="46">
        <f t="shared" ref="D190:O190" si="99">D187-D183*($T$3)</f>
        <v>664</v>
      </c>
      <c r="E190" s="46">
        <f t="shared" si="99"/>
        <v>614</v>
      </c>
      <c r="F190" s="46">
        <f t="shared" si="99"/>
        <v>586</v>
      </c>
      <c r="G190" s="46">
        <f t="shared" si="99"/>
        <v>324</v>
      </c>
      <c r="H190" s="46">
        <f t="shared" si="99"/>
        <v>152</v>
      </c>
      <c r="I190" s="46">
        <f t="shared" si="99"/>
        <v>-6</v>
      </c>
      <c r="J190" s="46">
        <f t="shared" si="99"/>
        <v>-25</v>
      </c>
      <c r="K190" s="46">
        <f t="shared" si="99"/>
        <v>72</v>
      </c>
      <c r="L190" s="46">
        <f t="shared" si="99"/>
        <v>67</v>
      </c>
      <c r="M190" s="46">
        <f t="shared" si="99"/>
        <v>434</v>
      </c>
      <c r="N190" s="46">
        <f t="shared" si="99"/>
        <v>666</v>
      </c>
      <c r="O190" s="46">
        <f t="shared" si="99"/>
        <v>972</v>
      </c>
      <c r="P190" s="31">
        <f t="shared" ref="P190:P191" si="100">SUM(D190:O190)</f>
        <v>4520</v>
      </c>
      <c r="Q190" s="83"/>
      <c r="R190" s="11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4">
        <v>2023</v>
      </c>
      <c r="B191" s="25" t="s">
        <v>43</v>
      </c>
      <c r="C191" s="30" t="s">
        <v>30</v>
      </c>
      <c r="D191" s="31">
        <f t="shared" ref="D191:H191" si="101">IF(D190&lt;0,0,((D189/D188))*D190)</f>
        <v>779.91864406779666</v>
      </c>
      <c r="E191" s="31">
        <f t="shared" si="101"/>
        <v>705.32974910394262</v>
      </c>
      <c r="F191" s="31">
        <f t="shared" si="101"/>
        <v>579.10588235294119</v>
      </c>
      <c r="G191" s="31">
        <f t="shared" si="101"/>
        <v>399.98697068403914</v>
      </c>
      <c r="H191" s="31">
        <f t="shared" si="101"/>
        <v>193.45454545454544</v>
      </c>
      <c r="I191" s="31">
        <f t="shared" ref="I191:K191" si="102">I190</f>
        <v>-6</v>
      </c>
      <c r="J191" s="31">
        <f t="shared" si="102"/>
        <v>-25</v>
      </c>
      <c r="K191" s="31">
        <f t="shared" si="102"/>
        <v>72</v>
      </c>
      <c r="L191" s="31">
        <f t="shared" ref="L191:O191" si="103">IF(L190&lt;0,0,((L189/L188))*L190)</f>
        <v>442.2</v>
      </c>
      <c r="M191" s="31">
        <f t="shared" si="103"/>
        <v>397.22033898305085</v>
      </c>
      <c r="N191" s="31">
        <f t="shared" si="103"/>
        <v>605.90055248618785</v>
      </c>
      <c r="O191" s="31">
        <f t="shared" si="103"/>
        <v>857.07692307692309</v>
      </c>
      <c r="P191" s="40">
        <f t="shared" si="100"/>
        <v>5001.1936062094264</v>
      </c>
      <c r="Q191" s="2"/>
      <c r="R191" s="11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89"/>
      <c r="B192" s="2"/>
      <c r="C192" s="2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91"/>
      <c r="Q192" s="2"/>
      <c r="R192" s="11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12" t="s">
        <v>12</v>
      </c>
      <c r="B193" s="13"/>
      <c r="C193" s="14"/>
      <c r="D193" s="15" t="s">
        <v>13</v>
      </c>
      <c r="E193" s="15" t="s">
        <v>14</v>
      </c>
      <c r="F193" s="15" t="s">
        <v>15</v>
      </c>
      <c r="G193" s="15" t="s">
        <v>16</v>
      </c>
      <c r="H193" s="15" t="s">
        <v>17</v>
      </c>
      <c r="I193" s="15" t="s">
        <v>18</v>
      </c>
      <c r="J193" s="16" t="s">
        <v>19</v>
      </c>
      <c r="K193" s="15" t="s">
        <v>20</v>
      </c>
      <c r="L193" s="15" t="s">
        <v>21</v>
      </c>
      <c r="M193" s="15" t="s">
        <v>22</v>
      </c>
      <c r="N193" s="15" t="s">
        <v>23</v>
      </c>
      <c r="O193" s="15" t="s">
        <v>24</v>
      </c>
      <c r="P193" s="15" t="s">
        <v>25</v>
      </c>
      <c r="Q193" s="2"/>
      <c r="R193" s="9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12"/>
      <c r="B194" s="13"/>
      <c r="C194" s="14"/>
      <c r="D194" s="77">
        <v>31</v>
      </c>
      <c r="E194" s="77">
        <v>29</v>
      </c>
      <c r="F194" s="77">
        <v>31</v>
      </c>
      <c r="G194" s="77">
        <v>30</v>
      </c>
      <c r="H194" s="77">
        <v>31</v>
      </c>
      <c r="I194" s="77">
        <v>30</v>
      </c>
      <c r="J194" s="78">
        <v>31</v>
      </c>
      <c r="K194" s="77">
        <v>31</v>
      </c>
      <c r="L194" s="77">
        <v>30</v>
      </c>
      <c r="M194" s="77">
        <v>31</v>
      </c>
      <c r="N194" s="77">
        <v>30</v>
      </c>
      <c r="O194" s="77">
        <v>31</v>
      </c>
      <c r="P194" s="15">
        <f>SUM(D194:O194)</f>
        <v>366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4">
        <v>2024</v>
      </c>
      <c r="B195" s="25" t="s">
        <v>27</v>
      </c>
      <c r="C195" s="26" t="s">
        <v>351</v>
      </c>
      <c r="D195" s="27">
        <v>-9.6</v>
      </c>
      <c r="E195" s="27">
        <v>-4.5</v>
      </c>
      <c r="F195" s="27">
        <v>0</v>
      </c>
      <c r="G195" s="27">
        <v>3.1</v>
      </c>
      <c r="H195" s="27">
        <v>13.4</v>
      </c>
      <c r="I195" s="27">
        <v>16.5</v>
      </c>
      <c r="J195" s="27">
        <v>18.2</v>
      </c>
      <c r="K195" s="27">
        <v>16.600000000000001</v>
      </c>
      <c r="L195" s="27">
        <v>13.3</v>
      </c>
      <c r="M195" s="27">
        <v>6.8</v>
      </c>
      <c r="N195" s="27">
        <v>2</v>
      </c>
      <c r="O195" s="27">
        <v>-1</v>
      </c>
      <c r="P195" s="27">
        <f>AVERAGE(D195:O195)</f>
        <v>6.2333333333333334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4">
        <v>2024</v>
      </c>
      <c r="B196" s="25" t="s">
        <v>29</v>
      </c>
      <c r="C196" s="30" t="s">
        <v>30</v>
      </c>
      <c r="D196" s="31">
        <v>722</v>
      </c>
      <c r="E196" s="76">
        <v>588</v>
      </c>
      <c r="F196" s="31">
        <v>509</v>
      </c>
      <c r="G196" s="31">
        <v>375</v>
      </c>
      <c r="H196" s="31">
        <v>195</v>
      </c>
      <c r="I196" s="42">
        <v>152</v>
      </c>
      <c r="J196" s="42">
        <v>116</v>
      </c>
      <c r="K196" s="31">
        <v>166</v>
      </c>
      <c r="L196" s="31">
        <v>211</v>
      </c>
      <c r="M196" s="31">
        <v>314</v>
      </c>
      <c r="N196" s="31">
        <v>440</v>
      </c>
      <c r="O196" s="31">
        <v>556</v>
      </c>
      <c r="P196" s="31">
        <f t="shared" ref="P196:P199" si="104">SUM(D196:O196)</f>
        <v>4344</v>
      </c>
      <c r="Q196" s="2"/>
      <c r="R196" s="11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4">
        <v>2024</v>
      </c>
      <c r="B197" s="25" t="s">
        <v>31</v>
      </c>
      <c r="C197" s="30" t="s">
        <v>30</v>
      </c>
      <c r="D197" s="31">
        <v>565</v>
      </c>
      <c r="E197" s="43">
        <v>495</v>
      </c>
      <c r="F197" s="31">
        <v>446</v>
      </c>
      <c r="G197" s="31">
        <v>358</v>
      </c>
      <c r="H197" s="31">
        <v>271</v>
      </c>
      <c r="I197" s="42">
        <v>238</v>
      </c>
      <c r="J197" s="42">
        <v>205</v>
      </c>
      <c r="K197" s="31">
        <v>245</v>
      </c>
      <c r="L197" s="31">
        <v>276</v>
      </c>
      <c r="M197" s="31">
        <v>345</v>
      </c>
      <c r="N197" s="31">
        <v>416</v>
      </c>
      <c r="O197" s="31">
        <v>500</v>
      </c>
      <c r="P197" s="31">
        <f t="shared" si="104"/>
        <v>4360</v>
      </c>
      <c r="Q197" s="2"/>
      <c r="R197" s="11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4">
        <v>2024</v>
      </c>
      <c r="B198" s="25" t="s">
        <v>32</v>
      </c>
      <c r="C198" s="30" t="s">
        <v>30</v>
      </c>
      <c r="D198" s="31">
        <f t="shared" ref="D198:O198" si="105">SUM(D196:D197)</f>
        <v>1287</v>
      </c>
      <c r="E198" s="31">
        <f t="shared" si="105"/>
        <v>1083</v>
      </c>
      <c r="F198" s="31">
        <f t="shared" si="105"/>
        <v>955</v>
      </c>
      <c r="G198" s="31">
        <f t="shared" si="105"/>
        <v>733</v>
      </c>
      <c r="H198" s="31">
        <f t="shared" si="105"/>
        <v>466</v>
      </c>
      <c r="I198" s="31">
        <f t="shared" si="105"/>
        <v>390</v>
      </c>
      <c r="J198" s="31">
        <f t="shared" si="105"/>
        <v>321</v>
      </c>
      <c r="K198" s="31">
        <f t="shared" si="105"/>
        <v>411</v>
      </c>
      <c r="L198" s="31">
        <f t="shared" si="105"/>
        <v>487</v>
      </c>
      <c r="M198" s="31">
        <f t="shared" si="105"/>
        <v>659</v>
      </c>
      <c r="N198" s="31">
        <f t="shared" si="105"/>
        <v>856</v>
      </c>
      <c r="O198" s="31">
        <f t="shared" si="105"/>
        <v>1056</v>
      </c>
      <c r="P198" s="40">
        <f t="shared" si="104"/>
        <v>8704</v>
      </c>
      <c r="Q198" s="2"/>
      <c r="R198" s="11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4">
        <v>2024</v>
      </c>
      <c r="B199" s="41" t="s">
        <v>36</v>
      </c>
      <c r="C199" s="26" t="s">
        <v>352</v>
      </c>
      <c r="D199" s="31">
        <v>814</v>
      </c>
      <c r="E199" s="31">
        <v>625</v>
      </c>
      <c r="F199" s="31">
        <v>519</v>
      </c>
      <c r="G199" s="31">
        <v>407</v>
      </c>
      <c r="H199" s="31">
        <v>91</v>
      </c>
      <c r="I199" s="31">
        <v>0</v>
      </c>
      <c r="J199" s="31">
        <v>0</v>
      </c>
      <c r="K199" s="31">
        <v>0</v>
      </c>
      <c r="L199" s="31">
        <v>57.843137254901961</v>
      </c>
      <c r="M199" s="31">
        <v>310.78431372549016</v>
      </c>
      <c r="N199" s="31">
        <v>447</v>
      </c>
      <c r="O199" s="42">
        <v>560</v>
      </c>
      <c r="P199" s="31">
        <f t="shared" si="104"/>
        <v>3831.6274509803925</v>
      </c>
      <c r="Q199" s="2"/>
      <c r="R199" s="11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4">
        <v>2024</v>
      </c>
      <c r="B200" s="41" t="s">
        <v>39</v>
      </c>
      <c r="C200" s="26" t="s">
        <v>353</v>
      </c>
      <c r="D200" s="31">
        <v>693</v>
      </c>
      <c r="E200" s="31">
        <v>641</v>
      </c>
      <c r="F200" s="31">
        <v>588</v>
      </c>
      <c r="G200" s="31">
        <v>379</v>
      </c>
      <c r="H200" s="31">
        <v>154</v>
      </c>
      <c r="I200" s="31">
        <v>19</v>
      </c>
      <c r="J200" s="31">
        <v>4</v>
      </c>
      <c r="K200" s="31">
        <v>21</v>
      </c>
      <c r="L200" s="31">
        <v>165</v>
      </c>
      <c r="M200" s="31">
        <v>378</v>
      </c>
      <c r="N200" s="31">
        <v>494</v>
      </c>
      <c r="O200" s="31">
        <v>619</v>
      </c>
      <c r="P200" s="31">
        <v>4155</v>
      </c>
      <c r="Q200" s="83"/>
      <c r="R200" s="11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4">
        <v>2024</v>
      </c>
      <c r="B201" s="25" t="s">
        <v>42</v>
      </c>
      <c r="C201" s="30" t="s">
        <v>30</v>
      </c>
      <c r="D201" s="46">
        <f t="shared" ref="D201:O201" si="106">D198-D194*($T$3)</f>
        <v>946</v>
      </c>
      <c r="E201" s="46">
        <f t="shared" si="106"/>
        <v>764</v>
      </c>
      <c r="F201" s="46">
        <f t="shared" si="106"/>
        <v>614</v>
      </c>
      <c r="G201" s="46">
        <f t="shared" si="106"/>
        <v>403</v>
      </c>
      <c r="H201" s="46">
        <f t="shared" si="106"/>
        <v>125</v>
      </c>
      <c r="I201" s="46">
        <f t="shared" si="106"/>
        <v>60</v>
      </c>
      <c r="J201" s="46">
        <f t="shared" si="106"/>
        <v>-20</v>
      </c>
      <c r="K201" s="46">
        <f t="shared" si="106"/>
        <v>70</v>
      </c>
      <c r="L201" s="46">
        <f t="shared" si="106"/>
        <v>157</v>
      </c>
      <c r="M201" s="46">
        <f t="shared" si="106"/>
        <v>318</v>
      </c>
      <c r="N201" s="46">
        <f t="shared" si="106"/>
        <v>526</v>
      </c>
      <c r="O201" s="46">
        <f t="shared" si="106"/>
        <v>715</v>
      </c>
      <c r="P201" s="31">
        <f t="shared" ref="P201:P202" si="107">SUM(D201:O201)</f>
        <v>4678</v>
      </c>
      <c r="Q201" s="83"/>
      <c r="R201" s="11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4">
        <v>2024</v>
      </c>
      <c r="B202" s="25" t="s">
        <v>43</v>
      </c>
      <c r="C202" s="30" t="s">
        <v>30</v>
      </c>
      <c r="D202" s="31">
        <f t="shared" ref="D202:H202" si="108">IF(D201&lt;0,0,((D200/D199))*D201)</f>
        <v>805.37837837837833</v>
      </c>
      <c r="E202" s="31">
        <f t="shared" si="108"/>
        <v>783.55840000000001</v>
      </c>
      <c r="F202" s="31">
        <f t="shared" si="108"/>
        <v>695.63005780346828</v>
      </c>
      <c r="G202" s="31">
        <f t="shared" si="108"/>
        <v>375.27518427518424</v>
      </c>
      <c r="H202" s="31">
        <f t="shared" si="108"/>
        <v>211.53846153846155</v>
      </c>
      <c r="I202" s="31">
        <f t="shared" ref="I202:K202" si="109">I201</f>
        <v>60</v>
      </c>
      <c r="J202" s="31">
        <f t="shared" si="109"/>
        <v>-20</v>
      </c>
      <c r="K202" s="31">
        <f t="shared" si="109"/>
        <v>70</v>
      </c>
      <c r="L202" s="31">
        <f t="shared" ref="L202:O202" si="110">IF(L201&lt;0,0,((L200/L199))*L201)</f>
        <v>447.84915254237285</v>
      </c>
      <c r="M202" s="31">
        <f t="shared" si="110"/>
        <v>386.77627760252369</v>
      </c>
      <c r="N202" s="31">
        <f t="shared" si="110"/>
        <v>581.30648769574941</v>
      </c>
      <c r="O202" s="31">
        <f t="shared" si="110"/>
        <v>790.33035714285722</v>
      </c>
      <c r="P202" s="40">
        <f t="shared" si="107"/>
        <v>5187.6427569789948</v>
      </c>
      <c r="Q202" s="2"/>
      <c r="R202" s="11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89"/>
      <c r="B203" s="2"/>
      <c r="C203" s="2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91"/>
      <c r="Q203" s="2"/>
      <c r="R203" s="11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12" t="s">
        <v>12</v>
      </c>
      <c r="B204" s="13"/>
      <c r="C204" s="14"/>
      <c r="D204" s="15" t="s">
        <v>13</v>
      </c>
      <c r="E204" s="15" t="s">
        <v>14</v>
      </c>
      <c r="F204" s="15" t="s">
        <v>15</v>
      </c>
      <c r="G204" s="15" t="s">
        <v>16</v>
      </c>
      <c r="H204" s="15" t="s">
        <v>17</v>
      </c>
      <c r="I204" s="15" t="s">
        <v>18</v>
      </c>
      <c r="J204" s="16" t="s">
        <v>19</v>
      </c>
      <c r="K204" s="15" t="s">
        <v>20</v>
      </c>
      <c r="L204" s="15" t="s">
        <v>21</v>
      </c>
      <c r="M204" s="15" t="s">
        <v>22</v>
      </c>
      <c r="N204" s="15" t="s">
        <v>23</v>
      </c>
      <c r="O204" s="15" t="s">
        <v>24</v>
      </c>
      <c r="P204" s="15" t="s">
        <v>25</v>
      </c>
      <c r="Q204" s="2"/>
      <c r="R204" s="9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12"/>
      <c r="B205" s="13"/>
      <c r="C205" s="14"/>
      <c r="D205" s="77">
        <v>31</v>
      </c>
      <c r="E205" s="77">
        <v>28</v>
      </c>
      <c r="F205" s="77">
        <v>31</v>
      </c>
      <c r="G205" s="77">
        <v>30</v>
      </c>
      <c r="H205" s="77">
        <v>31</v>
      </c>
      <c r="I205" s="77">
        <v>30</v>
      </c>
      <c r="J205" s="78">
        <v>31</v>
      </c>
      <c r="K205" s="77">
        <v>31</v>
      </c>
      <c r="L205" s="77">
        <v>30</v>
      </c>
      <c r="M205" s="77">
        <v>31</v>
      </c>
      <c r="N205" s="77">
        <v>30</v>
      </c>
      <c r="O205" s="77">
        <v>31</v>
      </c>
      <c r="P205" s="15">
        <f>SUM(D205:O205)</f>
        <v>365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4">
        <v>2025</v>
      </c>
      <c r="B206" s="25" t="s">
        <v>27</v>
      </c>
      <c r="C206" s="26" t="s">
        <v>355</v>
      </c>
      <c r="D206" s="27">
        <v>-1.8</v>
      </c>
      <c r="E206" s="27">
        <v>-3.3</v>
      </c>
      <c r="F206" s="27">
        <v>1.6</v>
      </c>
      <c r="G206" s="27">
        <v>5.4</v>
      </c>
      <c r="H206" s="27">
        <v>8.9</v>
      </c>
      <c r="I206" s="27">
        <v>13.9</v>
      </c>
      <c r="J206" s="27">
        <v>19.8</v>
      </c>
      <c r="K206" s="27">
        <v>14.7</v>
      </c>
      <c r="L206" s="27">
        <v>12.7</v>
      </c>
      <c r="M206" s="27">
        <v>6.2</v>
      </c>
      <c r="N206" s="27">
        <v>3.1</v>
      </c>
      <c r="O206" s="28">
        <v>0.8</v>
      </c>
      <c r="P206" s="27">
        <f>AVERAGE(D206:O206)</f>
        <v>6.833333333333333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4">
        <v>2025</v>
      </c>
      <c r="B207" s="25" t="s">
        <v>29</v>
      </c>
      <c r="C207" s="30" t="s">
        <v>30</v>
      </c>
      <c r="D207" s="31">
        <v>652</v>
      </c>
      <c r="E207" s="76">
        <v>649</v>
      </c>
      <c r="F207" s="31">
        <v>438</v>
      </c>
      <c r="G207" s="31">
        <v>325</v>
      </c>
      <c r="H207" s="31">
        <v>254</v>
      </c>
      <c r="I207" s="44">
        <v>155</v>
      </c>
      <c r="J207" s="42">
        <v>111</v>
      </c>
      <c r="K207" s="31">
        <v>164</v>
      </c>
      <c r="L207" s="31">
        <v>233</v>
      </c>
      <c r="M207" s="31">
        <v>376</v>
      </c>
      <c r="N207" s="31">
        <v>406</v>
      </c>
      <c r="O207" s="31">
        <v>491</v>
      </c>
      <c r="P207" s="31">
        <f t="shared" ref="P207:P210" si="111">SUM(D207:O207)</f>
        <v>4254</v>
      </c>
      <c r="Q207" s="2"/>
      <c r="R207" s="11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4">
        <v>2025</v>
      </c>
      <c r="B208" s="25" t="s">
        <v>31</v>
      </c>
      <c r="C208" s="30" t="s">
        <v>30</v>
      </c>
      <c r="D208" s="31">
        <v>527</v>
      </c>
      <c r="E208" s="43">
        <v>488</v>
      </c>
      <c r="F208" s="31">
        <v>441</v>
      </c>
      <c r="G208" s="31">
        <v>376</v>
      </c>
      <c r="H208" s="31">
        <v>312</v>
      </c>
      <c r="I208" s="44">
        <v>236</v>
      </c>
      <c r="J208" s="42">
        <v>174</v>
      </c>
      <c r="K208" s="31">
        <v>262</v>
      </c>
      <c r="L208" s="31">
        <v>288</v>
      </c>
      <c r="M208" s="31">
        <v>351</v>
      </c>
      <c r="N208" s="44">
        <v>370</v>
      </c>
      <c r="O208" s="31">
        <v>409</v>
      </c>
      <c r="P208" s="31">
        <f t="shared" si="111"/>
        <v>4234</v>
      </c>
      <c r="Q208" s="2"/>
      <c r="R208" s="11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4">
        <v>2025</v>
      </c>
      <c r="B209" s="25" t="s">
        <v>32</v>
      </c>
      <c r="C209" s="30" t="s">
        <v>30</v>
      </c>
      <c r="D209" s="31">
        <f t="shared" ref="D209:O209" si="112">SUM(D207:D208)</f>
        <v>1179</v>
      </c>
      <c r="E209" s="31">
        <f t="shared" si="112"/>
        <v>1137</v>
      </c>
      <c r="F209" s="31">
        <f t="shared" si="112"/>
        <v>879</v>
      </c>
      <c r="G209" s="31">
        <f t="shared" si="112"/>
        <v>701</v>
      </c>
      <c r="H209" s="31">
        <f t="shared" si="112"/>
        <v>566</v>
      </c>
      <c r="I209" s="31">
        <f t="shared" si="112"/>
        <v>391</v>
      </c>
      <c r="J209" s="31">
        <f t="shared" si="112"/>
        <v>285</v>
      </c>
      <c r="K209" s="31">
        <f t="shared" si="112"/>
        <v>426</v>
      </c>
      <c r="L209" s="31">
        <f t="shared" si="112"/>
        <v>521</v>
      </c>
      <c r="M209" s="31">
        <f t="shared" si="112"/>
        <v>727</v>
      </c>
      <c r="N209" s="31">
        <f t="shared" si="112"/>
        <v>776</v>
      </c>
      <c r="O209" s="31">
        <f t="shared" si="112"/>
        <v>900</v>
      </c>
      <c r="P209" s="40">
        <f t="shared" si="111"/>
        <v>8488</v>
      </c>
      <c r="Q209" s="2"/>
      <c r="R209" s="11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4">
        <v>2025</v>
      </c>
      <c r="B210" s="41" t="s">
        <v>36</v>
      </c>
      <c r="C210" s="26" t="s">
        <v>356</v>
      </c>
      <c r="D210" s="44">
        <f>604/1.02</f>
        <v>592.15686274509801</v>
      </c>
      <c r="E210" s="44">
        <f>580/1.02</f>
        <v>568.62745098039215</v>
      </c>
      <c r="F210" s="44">
        <f>480/1.02</f>
        <v>470.58823529411762</v>
      </c>
      <c r="G210" s="44">
        <f>327/1.02</f>
        <v>320.58823529411762</v>
      </c>
      <c r="H210" s="44">
        <f>168/1.02</f>
        <v>164.70588235294116</v>
      </c>
      <c r="I210" s="44">
        <v>0</v>
      </c>
      <c r="J210" s="44">
        <v>0</v>
      </c>
      <c r="K210" s="44">
        <f>25/1.04</f>
        <v>24.038461538461537</v>
      </c>
      <c r="L210" s="44">
        <f>84/1.02</f>
        <v>82.35294117647058</v>
      </c>
      <c r="M210" s="44">
        <f>324/1.02</f>
        <v>317.64705882352939</v>
      </c>
      <c r="N210" s="44">
        <f>427/1.02</f>
        <v>418.62745098039215</v>
      </c>
      <c r="O210" s="42">
        <f>507/1.02</f>
        <v>497.05882352941177</v>
      </c>
      <c r="P210" s="31">
        <f t="shared" si="111"/>
        <v>3456.3914027149317</v>
      </c>
      <c r="Q210" s="2"/>
      <c r="R210" s="11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4">
        <v>2025</v>
      </c>
      <c r="B211" s="41" t="s">
        <v>39</v>
      </c>
      <c r="C211" s="26" t="s">
        <v>357</v>
      </c>
      <c r="D211" s="31">
        <v>693</v>
      </c>
      <c r="E211" s="31">
        <v>641</v>
      </c>
      <c r="F211" s="31">
        <v>588</v>
      </c>
      <c r="G211" s="31">
        <v>379</v>
      </c>
      <c r="H211" s="31">
        <v>154</v>
      </c>
      <c r="I211" s="31">
        <v>19</v>
      </c>
      <c r="J211" s="31">
        <v>4</v>
      </c>
      <c r="K211" s="31">
        <v>21</v>
      </c>
      <c r="L211" s="31">
        <v>165</v>
      </c>
      <c r="M211" s="31">
        <v>378</v>
      </c>
      <c r="N211" s="31">
        <v>494</v>
      </c>
      <c r="O211" s="31">
        <v>619</v>
      </c>
      <c r="P211" s="31">
        <v>4155</v>
      </c>
      <c r="Q211" s="83"/>
      <c r="R211" s="11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4">
        <v>2025</v>
      </c>
      <c r="B212" s="25" t="s">
        <v>42</v>
      </c>
      <c r="C212" s="30" t="s">
        <v>30</v>
      </c>
      <c r="D212" s="46">
        <f t="shared" ref="D212:O212" si="113">D209-D205*($T$3)</f>
        <v>838</v>
      </c>
      <c r="E212" s="46">
        <f t="shared" si="113"/>
        <v>829</v>
      </c>
      <c r="F212" s="46">
        <f t="shared" si="113"/>
        <v>538</v>
      </c>
      <c r="G212" s="46">
        <f t="shared" si="113"/>
        <v>371</v>
      </c>
      <c r="H212" s="46">
        <f t="shared" si="113"/>
        <v>225</v>
      </c>
      <c r="I212" s="46">
        <f t="shared" si="113"/>
        <v>61</v>
      </c>
      <c r="J212" s="46">
        <f t="shared" si="113"/>
        <v>-56</v>
      </c>
      <c r="K212" s="46">
        <f t="shared" si="113"/>
        <v>85</v>
      </c>
      <c r="L212" s="46">
        <f t="shared" si="113"/>
        <v>191</v>
      </c>
      <c r="M212" s="46">
        <f t="shared" si="113"/>
        <v>386</v>
      </c>
      <c r="N212" s="46">
        <f t="shared" si="113"/>
        <v>446</v>
      </c>
      <c r="O212" s="46">
        <f t="shared" si="113"/>
        <v>559</v>
      </c>
      <c r="P212" s="31">
        <f t="shared" ref="P212:P213" si="114">SUM(D212:O212)</f>
        <v>4473</v>
      </c>
      <c r="Q212" s="83"/>
      <c r="R212" s="11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4">
        <v>2025</v>
      </c>
      <c r="B213" s="25" t="s">
        <v>43</v>
      </c>
      <c r="C213" s="30" t="s">
        <v>30</v>
      </c>
      <c r="D213" s="31">
        <f t="shared" ref="D213:H213" si="115">IF(D212&lt;0,0,((D211/D210))*D212)</f>
        <v>980.70973509933776</v>
      </c>
      <c r="E213" s="31">
        <f t="shared" si="115"/>
        <v>934.5116896551724</v>
      </c>
      <c r="F213" s="31">
        <f t="shared" si="115"/>
        <v>672.23099999999999</v>
      </c>
      <c r="G213" s="31">
        <f t="shared" si="115"/>
        <v>438.596880733945</v>
      </c>
      <c r="H213" s="31">
        <f t="shared" si="115"/>
        <v>210.375</v>
      </c>
      <c r="I213" s="31">
        <f t="shared" ref="I213:K213" si="116">I212</f>
        <v>61</v>
      </c>
      <c r="J213" s="31">
        <f t="shared" si="116"/>
        <v>-56</v>
      </c>
      <c r="K213" s="31">
        <f t="shared" si="116"/>
        <v>85</v>
      </c>
      <c r="L213" s="31">
        <f t="shared" ref="L213:O213" si="117">IF(L212&lt;0,0,((L211/L210))*L212)</f>
        <v>382.68214285714288</v>
      </c>
      <c r="M213" s="31">
        <f t="shared" si="117"/>
        <v>459.34000000000009</v>
      </c>
      <c r="N213" s="31">
        <f t="shared" si="117"/>
        <v>526.30088992974243</v>
      </c>
      <c r="O213" s="31">
        <f t="shared" si="117"/>
        <v>696.13692307692315</v>
      </c>
      <c r="P213" s="40">
        <f t="shared" si="114"/>
        <v>5390.8842613522647</v>
      </c>
      <c r="Q213" s="2"/>
      <c r="R213" s="11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89"/>
      <c r="B214" s="2"/>
      <c r="C214" s="2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91"/>
      <c r="Q214" s="2"/>
      <c r="R214" s="11"/>
      <c r="S214" s="2"/>
      <c r="T214" s="2"/>
      <c r="U214" s="2"/>
      <c r="V214" s="2"/>
      <c r="W214" s="2"/>
      <c r="X214" s="2"/>
      <c r="Y214" s="2"/>
      <c r="Z214" s="2"/>
    </row>
    <row r="215" spans="1:26" s="124" customFormat="1" ht="12.75" customHeight="1" x14ac:dyDescent="0.25">
      <c r="A215" s="12" t="s">
        <v>12</v>
      </c>
      <c r="B215" s="13"/>
      <c r="C215" s="14"/>
      <c r="D215" s="15" t="s">
        <v>13</v>
      </c>
      <c r="E215" s="15" t="s">
        <v>14</v>
      </c>
      <c r="F215" s="15" t="s">
        <v>15</v>
      </c>
      <c r="G215" s="15" t="s">
        <v>16</v>
      </c>
      <c r="H215" s="15" t="s">
        <v>17</v>
      </c>
      <c r="I215" s="15" t="s">
        <v>18</v>
      </c>
      <c r="J215" s="16" t="s">
        <v>19</v>
      </c>
      <c r="K215" s="15" t="s">
        <v>20</v>
      </c>
      <c r="L215" s="15" t="s">
        <v>21</v>
      </c>
      <c r="M215" s="15" t="s">
        <v>22</v>
      </c>
      <c r="N215" s="15" t="s">
        <v>23</v>
      </c>
      <c r="O215" s="15" t="s">
        <v>24</v>
      </c>
      <c r="P215" s="15" t="s">
        <v>25</v>
      </c>
      <c r="Q215" s="2"/>
      <c r="R215" s="92" t="s">
        <v>354</v>
      </c>
      <c r="S215" s="2"/>
      <c r="T215" s="2"/>
      <c r="U215" s="2"/>
      <c r="V215" s="2"/>
      <c r="W215" s="2"/>
      <c r="X215" s="2"/>
      <c r="Y215" s="2"/>
      <c r="Z215" s="2"/>
    </row>
    <row r="216" spans="1:26" s="124" customFormat="1" ht="12.75" customHeight="1" x14ac:dyDescent="0.25">
      <c r="A216" s="12"/>
      <c r="B216" s="13"/>
      <c r="C216" s="14"/>
      <c r="D216" s="77">
        <v>31</v>
      </c>
      <c r="E216" s="77">
        <v>28</v>
      </c>
      <c r="F216" s="77">
        <v>31</v>
      </c>
      <c r="G216" s="77">
        <v>30</v>
      </c>
      <c r="H216" s="77">
        <v>31</v>
      </c>
      <c r="I216" s="77">
        <v>30</v>
      </c>
      <c r="J216" s="78">
        <v>31</v>
      </c>
      <c r="K216" s="77">
        <v>31</v>
      </c>
      <c r="L216" s="77">
        <v>30</v>
      </c>
      <c r="M216" s="77">
        <v>31</v>
      </c>
      <c r="N216" s="77">
        <v>30</v>
      </c>
      <c r="O216" s="77">
        <v>31</v>
      </c>
      <c r="P216" s="15">
        <f>SUM(D216:O216)</f>
        <v>365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s="124" customFormat="1" ht="12.75" customHeight="1" x14ac:dyDescent="0.25">
      <c r="A217" s="24">
        <v>2026</v>
      </c>
      <c r="B217" s="25" t="s">
        <v>27</v>
      </c>
      <c r="C217" s="26" t="s">
        <v>28</v>
      </c>
      <c r="D217" s="27">
        <v>-10.199999999999999</v>
      </c>
      <c r="E217" s="27">
        <v>-11.2</v>
      </c>
      <c r="F217" s="27">
        <v>2.8</v>
      </c>
      <c r="G217" s="27">
        <v>4.5999999999999996</v>
      </c>
      <c r="H217" s="27">
        <v>11.5</v>
      </c>
      <c r="I217" s="27">
        <v>16.2</v>
      </c>
      <c r="J217" s="27">
        <v>16.7</v>
      </c>
      <c r="K217" s="27"/>
      <c r="L217" s="27"/>
      <c r="M217" s="27"/>
      <c r="N217" s="27"/>
      <c r="O217" s="28"/>
      <c r="P217" s="27">
        <f>AVERAGE(D217:O217)</f>
        <v>4.3428571428571425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s="124" customFormat="1" ht="12.75" customHeight="1" x14ac:dyDescent="0.25">
      <c r="A218" s="24">
        <v>2026</v>
      </c>
      <c r="B218" s="25" t="s">
        <v>29</v>
      </c>
      <c r="C218" s="30" t="s">
        <v>30</v>
      </c>
      <c r="D218" s="44">
        <v>855</v>
      </c>
      <c r="E218" s="76">
        <v>765</v>
      </c>
      <c r="F218" s="44">
        <v>417</v>
      </c>
      <c r="G218" s="44">
        <v>320</v>
      </c>
      <c r="H218" s="44">
        <v>198</v>
      </c>
      <c r="I218" s="44">
        <v>146</v>
      </c>
      <c r="J218" s="42">
        <v>142</v>
      </c>
      <c r="K218" s="44"/>
      <c r="L218" s="44"/>
      <c r="M218" s="44"/>
      <c r="N218" s="44"/>
      <c r="O218" s="44"/>
      <c r="P218" s="44">
        <f t="shared" ref="P218:P221" si="118">SUM(D218:O218)</f>
        <v>2843</v>
      </c>
      <c r="Q218" s="2"/>
      <c r="R218" s="11">
        <f>SUM(D218:O218)+SUM(K207:O207)</f>
        <v>4513</v>
      </c>
      <c r="S218" s="2"/>
      <c r="T218" s="2"/>
      <c r="U218" s="2"/>
      <c r="V218" s="2"/>
      <c r="W218" s="2"/>
      <c r="X218" s="2"/>
      <c r="Y218" s="2"/>
      <c r="Z218" s="2"/>
    </row>
    <row r="219" spans="1:26" s="124" customFormat="1" ht="12.75" customHeight="1" x14ac:dyDescent="0.25">
      <c r="A219" s="24">
        <v>2026</v>
      </c>
      <c r="B219" s="25" t="s">
        <v>31</v>
      </c>
      <c r="C219" s="30" t="s">
        <v>30</v>
      </c>
      <c r="D219" s="44">
        <v>640</v>
      </c>
      <c r="E219" s="43">
        <v>590</v>
      </c>
      <c r="F219" s="44">
        <v>438</v>
      </c>
      <c r="G219" s="44">
        <v>365</v>
      </c>
      <c r="H219" s="44">
        <v>260</v>
      </c>
      <c r="I219" s="44">
        <v>230</v>
      </c>
      <c r="J219" s="42">
        <v>241</v>
      </c>
      <c r="K219" s="44"/>
      <c r="L219" s="44"/>
      <c r="M219" s="44"/>
      <c r="N219" s="44"/>
      <c r="O219" s="44"/>
      <c r="P219" s="44">
        <f t="shared" si="118"/>
        <v>2764</v>
      </c>
      <c r="Q219" s="2"/>
      <c r="R219" s="11">
        <f t="shared" ref="R219:R224" si="119">SUM(D219:O219)+SUM(K208:O208)</f>
        <v>4444</v>
      </c>
      <c r="S219" s="2"/>
      <c r="T219" s="2"/>
      <c r="U219" s="2"/>
      <c r="V219" s="2"/>
      <c r="W219" s="2"/>
      <c r="X219" s="2"/>
      <c r="Y219" s="2"/>
      <c r="Z219" s="2"/>
    </row>
    <row r="220" spans="1:26" s="124" customFormat="1" ht="12.75" customHeight="1" x14ac:dyDescent="0.25">
      <c r="A220" s="24">
        <v>2026</v>
      </c>
      <c r="B220" s="25" t="s">
        <v>32</v>
      </c>
      <c r="C220" s="30" t="s">
        <v>30</v>
      </c>
      <c r="D220" s="44">
        <f t="shared" ref="D220:O220" si="120">SUM(D218:D219)</f>
        <v>1495</v>
      </c>
      <c r="E220" s="44">
        <f t="shared" si="120"/>
        <v>1355</v>
      </c>
      <c r="F220" s="44">
        <f t="shared" si="120"/>
        <v>855</v>
      </c>
      <c r="G220" s="44">
        <f t="shared" si="120"/>
        <v>685</v>
      </c>
      <c r="H220" s="44">
        <f t="shared" si="120"/>
        <v>458</v>
      </c>
      <c r="I220" s="44">
        <f t="shared" si="120"/>
        <v>376</v>
      </c>
      <c r="J220" s="44">
        <f t="shared" si="120"/>
        <v>383</v>
      </c>
      <c r="K220" s="44">
        <f t="shared" si="120"/>
        <v>0</v>
      </c>
      <c r="L220" s="44">
        <f t="shared" si="120"/>
        <v>0</v>
      </c>
      <c r="M220" s="44">
        <f t="shared" si="120"/>
        <v>0</v>
      </c>
      <c r="N220" s="44">
        <f t="shared" si="120"/>
        <v>0</v>
      </c>
      <c r="O220" s="44">
        <f t="shared" si="120"/>
        <v>0</v>
      </c>
      <c r="P220" s="40">
        <f t="shared" si="118"/>
        <v>5607</v>
      </c>
      <c r="Q220" s="2"/>
      <c r="R220" s="11">
        <f t="shared" si="119"/>
        <v>8957</v>
      </c>
      <c r="S220" s="2"/>
      <c r="T220" s="2"/>
      <c r="U220" s="2"/>
      <c r="V220" s="2"/>
      <c r="W220" s="2"/>
      <c r="X220" s="2"/>
      <c r="Y220" s="2"/>
      <c r="Z220" s="2"/>
    </row>
    <row r="221" spans="1:26" s="124" customFormat="1" ht="12.75" customHeight="1" x14ac:dyDescent="0.25">
      <c r="A221" s="24">
        <v>2026</v>
      </c>
      <c r="B221" s="41" t="s">
        <v>36</v>
      </c>
      <c r="C221" s="26" t="s">
        <v>37</v>
      </c>
      <c r="D221" s="44">
        <v>814</v>
      </c>
      <c r="E221" s="44">
        <v>771</v>
      </c>
      <c r="F221" s="44">
        <v>425</v>
      </c>
      <c r="G221" s="44">
        <v>349</v>
      </c>
      <c r="H221" s="44">
        <v>65</v>
      </c>
      <c r="I221" s="44">
        <v>0</v>
      </c>
      <c r="J221" s="44">
        <v>0</v>
      </c>
      <c r="K221" s="44"/>
      <c r="L221" s="44"/>
      <c r="M221" s="44"/>
      <c r="N221" s="44"/>
      <c r="O221" s="42"/>
      <c r="P221" s="44">
        <f t="shared" si="118"/>
        <v>2424</v>
      </c>
      <c r="Q221" s="2"/>
      <c r="R221" s="11">
        <f t="shared" si="119"/>
        <v>3763.7247360482652</v>
      </c>
      <c r="S221" s="2"/>
      <c r="T221" s="2"/>
      <c r="U221" s="2"/>
      <c r="V221" s="2"/>
      <c r="W221" s="2"/>
      <c r="X221" s="2"/>
      <c r="Y221" s="2"/>
      <c r="Z221" s="2"/>
    </row>
    <row r="222" spans="1:26" s="124" customFormat="1" ht="12.75" customHeight="1" x14ac:dyDescent="0.25">
      <c r="A222" s="24">
        <v>2026</v>
      </c>
      <c r="B222" s="41" t="s">
        <v>39</v>
      </c>
      <c r="C222" s="26" t="s">
        <v>37</v>
      </c>
      <c r="D222" s="44">
        <v>693</v>
      </c>
      <c r="E222" s="44">
        <v>641</v>
      </c>
      <c r="F222" s="44">
        <v>588</v>
      </c>
      <c r="G222" s="44">
        <v>379</v>
      </c>
      <c r="H222" s="44">
        <v>154</v>
      </c>
      <c r="I222" s="44">
        <v>19</v>
      </c>
      <c r="J222" s="44">
        <v>4</v>
      </c>
      <c r="K222" s="44">
        <v>21</v>
      </c>
      <c r="L222" s="44">
        <v>165</v>
      </c>
      <c r="M222" s="44">
        <v>378</v>
      </c>
      <c r="N222" s="44">
        <v>494</v>
      </c>
      <c r="O222" s="44">
        <v>619</v>
      </c>
      <c r="P222" s="44">
        <v>4155</v>
      </c>
      <c r="Q222" s="83"/>
      <c r="R222" s="11">
        <f t="shared" si="119"/>
        <v>5832</v>
      </c>
      <c r="S222" s="2"/>
      <c r="T222" s="2"/>
      <c r="U222" s="2"/>
      <c r="V222" s="2"/>
      <c r="W222" s="2"/>
      <c r="X222" s="2"/>
      <c r="Y222" s="2"/>
      <c r="Z222" s="2"/>
    </row>
    <row r="223" spans="1:26" s="124" customFormat="1" ht="12.75" customHeight="1" x14ac:dyDescent="0.25">
      <c r="A223" s="24">
        <v>2026</v>
      </c>
      <c r="B223" s="25" t="s">
        <v>42</v>
      </c>
      <c r="C223" s="30" t="s">
        <v>30</v>
      </c>
      <c r="D223" s="46">
        <f t="shared" ref="D223:O223" si="121">D220-D216*($T$3)</f>
        <v>1154</v>
      </c>
      <c r="E223" s="46">
        <f t="shared" si="121"/>
        <v>1047</v>
      </c>
      <c r="F223" s="46">
        <f t="shared" si="121"/>
        <v>514</v>
      </c>
      <c r="G223" s="46">
        <f t="shared" si="121"/>
        <v>355</v>
      </c>
      <c r="H223" s="46">
        <f t="shared" si="121"/>
        <v>117</v>
      </c>
      <c r="I223" s="46">
        <f t="shared" si="121"/>
        <v>46</v>
      </c>
      <c r="J223" s="46">
        <f t="shared" si="121"/>
        <v>42</v>
      </c>
      <c r="K223" s="46">
        <f t="shared" si="121"/>
        <v>-341</v>
      </c>
      <c r="L223" s="46">
        <f t="shared" si="121"/>
        <v>-330</v>
      </c>
      <c r="M223" s="46">
        <f t="shared" si="121"/>
        <v>-341</v>
      </c>
      <c r="N223" s="46">
        <f t="shared" si="121"/>
        <v>-330</v>
      </c>
      <c r="O223" s="46">
        <f t="shared" si="121"/>
        <v>-341</v>
      </c>
      <c r="P223" s="44">
        <f t="shared" ref="P223:P224" si="122">SUM(D223:O223)</f>
        <v>1592</v>
      </c>
      <c r="Q223" s="83"/>
      <c r="R223" s="11">
        <f t="shared" si="119"/>
        <v>3259</v>
      </c>
      <c r="S223" s="2"/>
      <c r="T223" s="2"/>
      <c r="U223" s="2"/>
      <c r="V223" s="2"/>
      <c r="W223" s="2"/>
      <c r="X223" s="2"/>
      <c r="Y223" s="2"/>
      <c r="Z223" s="2"/>
    </row>
    <row r="224" spans="1:26" s="124" customFormat="1" ht="12.75" customHeight="1" x14ac:dyDescent="0.25">
      <c r="A224" s="24">
        <v>2026</v>
      </c>
      <c r="B224" s="25" t="s">
        <v>43</v>
      </c>
      <c r="C224" s="30" t="s">
        <v>30</v>
      </c>
      <c r="D224" s="44">
        <f t="shared" ref="D224:H224" si="123">IF(D223&lt;0,0,((D222/D221))*D223)</f>
        <v>982.45945945945937</v>
      </c>
      <c r="E224" s="44">
        <f t="shared" si="123"/>
        <v>870.46303501945533</v>
      </c>
      <c r="F224" s="44">
        <f t="shared" si="123"/>
        <v>711.13411764705882</v>
      </c>
      <c r="G224" s="44">
        <f t="shared" si="123"/>
        <v>385.51575931232094</v>
      </c>
      <c r="H224" s="44">
        <f t="shared" si="123"/>
        <v>277.2</v>
      </c>
      <c r="I224" s="44">
        <f t="shared" ref="I224:K224" si="124">I223</f>
        <v>46</v>
      </c>
      <c r="J224" s="44">
        <f t="shared" si="124"/>
        <v>42</v>
      </c>
      <c r="K224" s="44">
        <f t="shared" si="124"/>
        <v>-341</v>
      </c>
      <c r="L224" s="44">
        <f t="shared" ref="L224:O224" si="125">IF(L223&lt;0,0,((L222/L221))*L223)</f>
        <v>0</v>
      </c>
      <c r="M224" s="44">
        <f t="shared" si="125"/>
        <v>0</v>
      </c>
      <c r="N224" s="44">
        <f t="shared" si="125"/>
        <v>0</v>
      </c>
      <c r="O224" s="44">
        <f t="shared" si="125"/>
        <v>0</v>
      </c>
      <c r="P224" s="40">
        <f t="shared" si="122"/>
        <v>2973.7723714382942</v>
      </c>
      <c r="Q224" s="2"/>
      <c r="R224" s="11">
        <f t="shared" si="119"/>
        <v>5123.2323273021029</v>
      </c>
      <c r="S224" s="2"/>
      <c r="T224" s="2"/>
      <c r="U224" s="2"/>
      <c r="V224" s="2"/>
      <c r="W224" s="2"/>
      <c r="X224" s="2"/>
      <c r="Y224" s="2"/>
      <c r="Z224" s="2"/>
    </row>
    <row r="225" spans="1:26" s="124" customFormat="1" ht="12.75" customHeight="1" x14ac:dyDescent="0.25">
      <c r="A225" s="89"/>
      <c r="B225" s="2"/>
      <c r="C225" s="2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91"/>
      <c r="Q225" s="2"/>
      <c r="R225" s="11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89"/>
      <c r="B226" s="2"/>
      <c r="C226" s="2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91"/>
      <c r="Q226" s="2"/>
      <c r="R226" s="11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89"/>
      <c r="B227" s="2"/>
      <c r="C227" s="2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91"/>
      <c r="Q227" s="2"/>
      <c r="R227" s="11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89"/>
      <c r="B228" s="2"/>
      <c r="C228" s="2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91"/>
      <c r="Q228" s="2"/>
      <c r="R228" s="11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3">
      <c r="A229" s="2">
        <v>2007</v>
      </c>
      <c r="B229" s="65" t="s">
        <v>56</v>
      </c>
      <c r="C229" s="2" t="s">
        <v>358</v>
      </c>
      <c r="D229" s="9">
        <f t="shared" ref="D229:H229" si="126">D14*1000/$F$4/D12</f>
        <v>7.2296988688070858</v>
      </c>
      <c r="E229" s="9">
        <f t="shared" si="126"/>
        <v>6.383225056678822</v>
      </c>
      <c r="F229" s="9">
        <f t="shared" si="126"/>
        <v>7.0404087252507948</v>
      </c>
      <c r="G229" s="9">
        <f t="shared" si="126"/>
        <v>7.3653972065343298</v>
      </c>
      <c r="H229" s="9">
        <f t="shared" si="126"/>
        <v>12.577872332507878</v>
      </c>
      <c r="I229" s="9"/>
      <c r="J229" s="9"/>
      <c r="K229" s="9"/>
      <c r="L229" s="9">
        <f t="shared" ref="L229:P229" si="127">L14*1000/$F$4/L12</f>
        <v>5.5345606026590826</v>
      </c>
      <c r="M229" s="9">
        <f t="shared" si="127"/>
        <v>6.1154563351186573</v>
      </c>
      <c r="N229" s="9">
        <f t="shared" si="127"/>
        <v>7.3549979930969487</v>
      </c>
      <c r="O229" s="9">
        <f t="shared" si="127"/>
        <v>7.3868858041697267</v>
      </c>
      <c r="P229" s="9">
        <f t="shared" si="127"/>
        <v>7.0383910661030207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>
        <v>2008</v>
      </c>
      <c r="B230" s="65" t="s">
        <v>56</v>
      </c>
      <c r="C230" s="2" t="s">
        <v>359</v>
      </c>
      <c r="D230" s="9">
        <f t="shared" ref="D230:H230" si="128">D25*1000/$F$4/D23</f>
        <v>7.1579762264205202</v>
      </c>
      <c r="E230" s="9">
        <f t="shared" si="128"/>
        <v>6.0256575605800737</v>
      </c>
      <c r="F230" s="9">
        <f t="shared" si="128"/>
        <v>7.038619862153241</v>
      </c>
      <c r="G230" s="9">
        <f t="shared" si="128"/>
        <v>5.9011406871355394</v>
      </c>
      <c r="H230" s="9">
        <f t="shared" si="128"/>
        <v>6.3269932057531166</v>
      </c>
      <c r="I230" s="9"/>
      <c r="J230" s="9"/>
      <c r="K230" s="9"/>
      <c r="L230" s="9">
        <f t="shared" ref="L230:P230" si="129">L25*1000/$F$4/L23</f>
        <v>5.4978848759041981</v>
      </c>
      <c r="M230" s="9">
        <f t="shared" si="129"/>
        <v>5.0768409361265467</v>
      </c>
      <c r="N230" s="9">
        <f t="shared" si="129"/>
        <v>6.5449599402381073</v>
      </c>
      <c r="O230" s="9">
        <f t="shared" si="129"/>
        <v>6.7151303323981635</v>
      </c>
      <c r="P230" s="9">
        <f t="shared" si="129"/>
        <v>6.5192062318721824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>
        <v>2009</v>
      </c>
      <c r="B231" s="65" t="s">
        <v>56</v>
      </c>
      <c r="C231" s="2" t="s">
        <v>360</v>
      </c>
      <c r="D231" s="9">
        <f t="shared" ref="D231:H231" si="130">D36*1000/$F$4/D34</f>
        <v>6.211876842503159</v>
      </c>
      <c r="E231" s="9">
        <f t="shared" si="130"/>
        <v>6.4205275849895749</v>
      </c>
      <c r="F231" s="9">
        <f t="shared" si="130"/>
        <v>5.7842307521817853</v>
      </c>
      <c r="G231" s="9">
        <f t="shared" si="130"/>
        <v>7.6886863571646185</v>
      </c>
      <c r="H231" s="9">
        <f t="shared" si="130"/>
        <v>11.229274765909226</v>
      </c>
      <c r="I231" s="9"/>
      <c r="J231" s="9"/>
      <c r="K231" s="9"/>
      <c r="L231" s="9">
        <f t="shared" ref="L231:P231" si="131">L36*1000/$F$4/L34</f>
        <v>7.1447832163582792</v>
      </c>
      <c r="M231" s="9">
        <f t="shared" si="131"/>
        <v>5.5089456211281913</v>
      </c>
      <c r="N231" s="9">
        <f t="shared" si="131"/>
        <v>7.0586554070002148</v>
      </c>
      <c r="O231" s="9">
        <f t="shared" si="131"/>
        <v>5.8984938405326979</v>
      </c>
      <c r="P231" s="9">
        <f t="shared" si="131"/>
        <v>6.448232253282753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>
        <v>2010</v>
      </c>
      <c r="B232" s="65" t="s">
        <v>56</v>
      </c>
      <c r="C232" s="2" t="s">
        <v>361</v>
      </c>
      <c r="D232" s="9">
        <f t="shared" ref="D232:H232" si="132">D47*1000/$F$4/D45</f>
        <v>5.6903269490099087</v>
      </c>
      <c r="E232" s="9">
        <f t="shared" si="132"/>
        <v>6.4753007984033797</v>
      </c>
      <c r="F232" s="9">
        <f t="shared" si="132"/>
        <v>5.6485405015102215</v>
      </c>
      <c r="G232" s="9">
        <f t="shared" si="132"/>
        <v>6.5428138583172908</v>
      </c>
      <c r="H232" s="9">
        <f t="shared" si="132"/>
        <v>7.1597742509925792</v>
      </c>
      <c r="I232" s="9"/>
      <c r="J232" s="9"/>
      <c r="K232" s="9"/>
      <c r="L232" s="9">
        <f t="shared" ref="L232:P232" si="133">L47*1000/$F$4/L45</f>
        <v>9.1716772592021218</v>
      </c>
      <c r="M232" s="9">
        <f t="shared" si="133"/>
        <v>6.9238860413966457</v>
      </c>
      <c r="N232" s="9">
        <f t="shared" si="133"/>
        <v>7.309601965399068</v>
      </c>
      <c r="O232" s="9">
        <f t="shared" si="133"/>
        <v>7.5902370809045605</v>
      </c>
      <c r="P232" s="9">
        <f t="shared" si="133"/>
        <v>6.7360934542475333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3">
      <c r="A233" s="2">
        <v>2011</v>
      </c>
      <c r="B233" s="65" t="s">
        <v>56</v>
      </c>
      <c r="C233" s="2" t="s">
        <v>362</v>
      </c>
      <c r="D233" s="9">
        <f t="shared" ref="D233:H233" si="134">D59*1000/$F$4/D56</f>
        <v>7.921062760773891</v>
      </c>
      <c r="E233" s="9">
        <f t="shared" si="134"/>
        <v>5.807402408485709</v>
      </c>
      <c r="F233" s="9">
        <f t="shared" si="134"/>
        <v>8.1485077153527303</v>
      </c>
      <c r="G233" s="9">
        <f t="shared" si="134"/>
        <v>9.6574577543435662</v>
      </c>
      <c r="H233" s="9">
        <f t="shared" si="134"/>
        <v>26.999724784002197</v>
      </c>
      <c r="I233" s="9"/>
      <c r="J233" s="9"/>
      <c r="K233" s="9"/>
      <c r="L233" s="9">
        <f t="shared" ref="L233:P233" si="135">L59*1000/$F$4/L56</f>
        <v>22.78071722516167</v>
      </c>
      <c r="M233" s="9">
        <f t="shared" si="135"/>
        <v>8.5657713498622599</v>
      </c>
      <c r="N233" s="9">
        <f t="shared" si="135"/>
        <v>11.672508617490299</v>
      </c>
      <c r="O233" s="9">
        <f t="shared" si="135"/>
        <v>12.563904458641082</v>
      </c>
      <c r="P233" s="9">
        <f t="shared" si="135"/>
        <v>9.506470304627479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2">
        <v>2012</v>
      </c>
      <c r="B234" s="65" t="s">
        <v>56</v>
      </c>
      <c r="C234" s="2" t="s">
        <v>363</v>
      </c>
      <c r="D234" s="9">
        <f t="shared" ref="D234:H234" si="136">D69*1000/$F$4/D67</f>
        <v>6.7300500361085307</v>
      </c>
      <c r="E234" s="9">
        <f t="shared" si="136"/>
        <v>6.2518535424939374</v>
      </c>
      <c r="F234" s="9">
        <f t="shared" si="136"/>
        <v>7.4257626051285675</v>
      </c>
      <c r="G234" s="9">
        <f t="shared" si="136"/>
        <v>6.6039147140337606</v>
      </c>
      <c r="H234" s="9">
        <f t="shared" si="136"/>
        <v>6.8587105624142657</v>
      </c>
      <c r="I234" s="9"/>
      <c r="J234" s="9"/>
      <c r="K234" s="9"/>
      <c r="L234" s="9">
        <f t="shared" ref="L234:P234" si="137">L69*1000/$F$4/L67</f>
        <v>7.0671189622802526</v>
      </c>
      <c r="M234" s="9">
        <f t="shared" si="137"/>
        <v>7.6261565232153457</v>
      </c>
      <c r="N234" s="9">
        <f t="shared" si="137"/>
        <v>8.2856906123125356</v>
      </c>
      <c r="O234" s="9">
        <f t="shared" si="137"/>
        <v>6.9977811913295778</v>
      </c>
      <c r="P234" s="9">
        <f t="shared" si="137"/>
        <v>6.9869240314654162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2">
        <v>2013</v>
      </c>
      <c r="B235" s="65" t="s">
        <v>56</v>
      </c>
      <c r="C235" s="2" t="s">
        <v>364</v>
      </c>
      <c r="D235" s="9">
        <f t="shared" ref="D235:H235" si="138">D80*1000/$F$4/D78</f>
        <v>7.0926838168217481</v>
      </c>
      <c r="E235" s="9">
        <f t="shared" si="138"/>
        <v>7.831691704459562</v>
      </c>
      <c r="F235" s="9">
        <f t="shared" si="138"/>
        <v>5.5803571428571423</v>
      </c>
      <c r="G235" s="9">
        <f t="shared" si="138"/>
        <v>7.1189741328630216</v>
      </c>
      <c r="H235" s="9">
        <f t="shared" si="138"/>
        <v>5.3336746885133985</v>
      </c>
      <c r="I235" s="4"/>
      <c r="J235" s="4"/>
      <c r="K235" s="4"/>
      <c r="L235" s="9">
        <f t="shared" ref="L235:P235" si="139">L80*1000/$F$4/L78</f>
        <v>7.2764987537714809</v>
      </c>
      <c r="M235" s="9">
        <f t="shared" si="139"/>
        <v>5.5155045074399913</v>
      </c>
      <c r="N235" s="9">
        <f t="shared" si="139"/>
        <v>6.5251795162509447</v>
      </c>
      <c r="O235" s="9">
        <f t="shared" si="139"/>
        <v>6.5087498933265051</v>
      </c>
      <c r="P235" s="9">
        <f t="shared" si="139"/>
        <v>6.5442600468870165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>
        <v>2014</v>
      </c>
      <c r="B236" s="65" t="s">
        <v>56</v>
      </c>
      <c r="C236" s="2" t="s">
        <v>365</v>
      </c>
      <c r="D236" s="9">
        <f t="shared" ref="D236:H236" si="140">D91*1000/$F$4/D89</f>
        <v>5.3768246582332875</v>
      </c>
      <c r="E236" s="9">
        <f t="shared" si="140"/>
        <v>7.9092347133584244</v>
      </c>
      <c r="F236" s="9">
        <f t="shared" si="140"/>
        <v>7.2837994965011088</v>
      </c>
      <c r="G236" s="9">
        <f t="shared" si="140"/>
        <v>6.5448633156966478</v>
      </c>
      <c r="H236" s="9">
        <f t="shared" si="140"/>
        <v>6.2221526037315504</v>
      </c>
      <c r="I236" s="4"/>
      <c r="J236" s="4"/>
      <c r="K236" s="4"/>
      <c r="L236" s="9">
        <f t="shared" ref="L236:P236" si="141">L91*1000/$F$4/L89</f>
        <v>3.4217004703115816</v>
      </c>
      <c r="M236" s="9">
        <f t="shared" si="141"/>
        <v>6.3559623371451321</v>
      </c>
      <c r="N236" s="9">
        <f t="shared" si="141"/>
        <v>7.2659465020576128</v>
      </c>
      <c r="O236" s="9">
        <f t="shared" si="141"/>
        <v>6.7021833256977565</v>
      </c>
      <c r="P236" s="9">
        <f t="shared" si="141"/>
        <v>6.3475612949750602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>
        <v>2015</v>
      </c>
      <c r="B237" s="65" t="s">
        <v>56</v>
      </c>
      <c r="C237" s="2" t="s">
        <v>366</v>
      </c>
      <c r="D237" s="9">
        <f t="shared" ref="D237:H237" si="142">D102*1000/$F$4/D100</f>
        <v>7.1464435499523216</v>
      </c>
      <c r="E237" s="9">
        <f t="shared" si="142"/>
        <v>6.8142644691272611</v>
      </c>
      <c r="F237" s="9">
        <f t="shared" si="142"/>
        <v>7.2087946961938885</v>
      </c>
      <c r="G237" s="9">
        <f t="shared" si="142"/>
        <v>6.7630254262198708</v>
      </c>
      <c r="H237" s="9">
        <f t="shared" si="142"/>
        <v>7.4359831492983668</v>
      </c>
      <c r="I237" s="9"/>
      <c r="J237" s="9"/>
      <c r="K237" s="9"/>
      <c r="L237" s="9">
        <f t="shared" ref="L237:P237" si="143">L102*1000/$F$4/L100</f>
        <v>3.5573993907327237</v>
      </c>
      <c r="M237" s="9">
        <f t="shared" si="143"/>
        <v>5.3716309130913089</v>
      </c>
      <c r="N237" s="9">
        <f t="shared" si="143"/>
        <v>7.0260645960391495</v>
      </c>
      <c r="O237" s="9">
        <f t="shared" si="143"/>
        <v>6.8162185509124278</v>
      </c>
      <c r="P237" s="9">
        <f t="shared" si="143"/>
        <v>6.5987073256257904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>
        <v>2016</v>
      </c>
      <c r="B238" s="65" t="s">
        <v>56</v>
      </c>
      <c r="C238" s="2" t="s">
        <v>367</v>
      </c>
      <c r="D238" s="9">
        <f t="shared" ref="D238:H238" si="144">D113*1000/$F$4/D111</f>
        <v>5.5241630702460194</v>
      </c>
      <c r="E238" s="9">
        <f t="shared" si="144"/>
        <v>7.7524757242190185</v>
      </c>
      <c r="F238" s="9">
        <f t="shared" si="144"/>
        <v>7.055689659376295</v>
      </c>
      <c r="G238" s="9">
        <f t="shared" si="144"/>
        <v>6.3295717592592586</v>
      </c>
      <c r="H238" s="9">
        <f t="shared" si="144"/>
        <v>10.963020473890039</v>
      </c>
      <c r="I238" s="9"/>
      <c r="J238" s="9"/>
      <c r="K238" s="9"/>
      <c r="L238" s="9">
        <f t="shared" ref="L238:P238" si="145">L113*1000/$F$4/L111</f>
        <v>4.935265351932018</v>
      </c>
      <c r="M238" s="9">
        <f t="shared" si="145"/>
        <v>6.8893298059964723</v>
      </c>
      <c r="N238" s="9">
        <f t="shared" si="145"/>
        <v>7.776844915181262</v>
      </c>
      <c r="O238" s="9">
        <f t="shared" si="145"/>
        <v>7.2237797280459395</v>
      </c>
      <c r="P238" s="9">
        <f t="shared" si="145"/>
        <v>6.823618637327729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>
        <v>2017</v>
      </c>
      <c r="B239" s="65" t="s">
        <v>56</v>
      </c>
      <c r="C239" s="2" t="s">
        <v>368</v>
      </c>
      <c r="D239" s="9">
        <f t="shared" ref="D239:H239" si="146">D124*1000/$F$4/D122</f>
        <v>7.4224595814626726</v>
      </c>
      <c r="E239" s="9">
        <f t="shared" si="146"/>
        <v>6.663977896454532</v>
      </c>
      <c r="F239" s="9">
        <f t="shared" si="146"/>
        <v>7.3894047108332819</v>
      </c>
      <c r="G239" s="9">
        <f t="shared" si="146"/>
        <v>6.5627156659765351</v>
      </c>
      <c r="H239" s="9">
        <f t="shared" si="146"/>
        <v>6.2955262013481201</v>
      </c>
      <c r="I239" s="9"/>
      <c r="J239" s="9"/>
      <c r="K239" s="9"/>
      <c r="L239" s="9">
        <f t="shared" ref="L239:P239" si="147">L124*1000/$F$4/L122</f>
        <v>6.9075059101654839</v>
      </c>
      <c r="M239" s="9">
        <f t="shared" si="147"/>
        <v>6.7640692640692635</v>
      </c>
      <c r="N239" s="9">
        <f t="shared" si="147"/>
        <v>7.1407463694697766</v>
      </c>
      <c r="O239" s="9">
        <f t="shared" si="147"/>
        <v>7.178754013900301</v>
      </c>
      <c r="P239" s="9">
        <f t="shared" si="147"/>
        <v>6.9945483405566113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>
        <v>2018</v>
      </c>
      <c r="B240" s="65" t="s">
        <v>56</v>
      </c>
      <c r="C240" s="2" t="s">
        <v>369</v>
      </c>
      <c r="D240" s="9">
        <f t="shared" ref="D240:H240" si="148">D135*1000/$F$4/D133</f>
        <v>7.7076604826999153</v>
      </c>
      <c r="E240" s="9">
        <f t="shared" si="148"/>
        <v>6.7505929574895092</v>
      </c>
      <c r="F240" s="9">
        <f t="shared" si="148"/>
        <v>6.552692099567099</v>
      </c>
      <c r="G240" s="9">
        <f t="shared" si="148"/>
        <v>7.120903917122404</v>
      </c>
      <c r="H240" s="9">
        <f t="shared" si="148"/>
        <v>13.679453262786595</v>
      </c>
      <c r="I240" s="9"/>
      <c r="J240" s="9"/>
      <c r="K240" s="9"/>
      <c r="L240" s="9">
        <f t="shared" ref="L240:P240" si="149">L135*1000/$F$4/L133</f>
        <v>5.4778573579386585</v>
      </c>
      <c r="M240" s="9">
        <f t="shared" si="149"/>
        <v>6.1719285204133687</v>
      </c>
      <c r="N240" s="9">
        <f t="shared" si="149"/>
        <v>7.5424382716049374</v>
      </c>
      <c r="O240" s="9">
        <f t="shared" si="149"/>
        <v>7.0434332358674459</v>
      </c>
      <c r="P240" s="9">
        <f t="shared" si="149"/>
        <v>6.9687037258526576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>
        <v>2019</v>
      </c>
      <c r="B241" s="65" t="s">
        <v>56</v>
      </c>
      <c r="C241" s="2" t="s">
        <v>370</v>
      </c>
      <c r="D241" s="9">
        <f t="shared" ref="D241:H241" si="150">D146*1000/$F$4/D144</f>
        <v>6.6217058404558395</v>
      </c>
      <c r="E241" s="9">
        <f t="shared" si="150"/>
        <v>7.9649766845778514</v>
      </c>
      <c r="F241" s="9">
        <f t="shared" si="150"/>
        <v>6.8967376875082964</v>
      </c>
      <c r="G241" s="9">
        <f t="shared" si="150"/>
        <v>7.1314468279324501</v>
      </c>
      <c r="H241" s="9">
        <f t="shared" si="150"/>
        <v>8.1363857075882393</v>
      </c>
      <c r="I241" s="9"/>
      <c r="J241" s="9"/>
      <c r="K241" s="9"/>
      <c r="L241" s="9">
        <f t="shared" ref="L241:P241" si="151">L146*1000/$F$4/L144</f>
        <v>6.552692099567099</v>
      </c>
      <c r="M241" s="9">
        <f t="shared" si="151"/>
        <v>7.0907102157102155</v>
      </c>
      <c r="N241" s="9">
        <f t="shared" si="151"/>
        <v>7.6013233047751871</v>
      </c>
      <c r="O241" s="9">
        <f t="shared" si="151"/>
        <v>7.2054284676833689</v>
      </c>
      <c r="P241" s="9">
        <f t="shared" si="151"/>
        <v>7.1571755227094975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>
        <v>2020</v>
      </c>
      <c r="B242" s="65" t="s">
        <v>56</v>
      </c>
      <c r="C242" s="2" t="s">
        <v>371</v>
      </c>
      <c r="D242" s="9">
        <f t="shared" ref="D242:H242" si="152">D157*1000/$F$4/D155</f>
        <v>7.4627976190476186</v>
      </c>
      <c r="E242" s="9">
        <f t="shared" si="152"/>
        <v>6.9332374403592478</v>
      </c>
      <c r="F242" s="9">
        <f t="shared" si="152"/>
        <v>7.0894537250384024</v>
      </c>
      <c r="G242" s="9">
        <f t="shared" si="152"/>
        <v>5.4194237661979594</v>
      </c>
      <c r="H242" s="9">
        <f t="shared" si="152"/>
        <v>7.5850482571588103</v>
      </c>
      <c r="I242" s="9"/>
      <c r="J242" s="9"/>
      <c r="K242" s="9"/>
      <c r="L242" s="9">
        <f t="shared" ref="L242:P242" si="153">L157*1000/$F$4/L155</f>
        <v>6.3762946076775853</v>
      </c>
      <c r="M242" s="9">
        <f t="shared" si="153"/>
        <v>6.5781987824998573</v>
      </c>
      <c r="N242" s="9">
        <f t="shared" si="153"/>
        <v>7.0260645960391495</v>
      </c>
      <c r="O242" s="9">
        <f t="shared" si="153"/>
        <v>7.4797103398798308</v>
      </c>
      <c r="P242" s="9">
        <f t="shared" si="153"/>
        <v>6.8681363109538642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>
        <v>2021</v>
      </c>
      <c r="B243" s="65" t="s">
        <v>56</v>
      </c>
      <c r="C243" s="2" t="s">
        <v>372</v>
      </c>
      <c r="D243" s="9">
        <f t="shared" ref="D243:H243" si="154">D168*1000/$F$4/D166</f>
        <v>7.0575368194415811</v>
      </c>
      <c r="E243" s="9">
        <f t="shared" si="154"/>
        <v>6.3419238886690401</v>
      </c>
      <c r="F243" s="9">
        <f t="shared" si="154"/>
        <v>6.8478718921196791</v>
      </c>
      <c r="G243" s="9">
        <f t="shared" si="154"/>
        <v>6.4714839424141752</v>
      </c>
      <c r="H243" s="9">
        <f t="shared" si="154"/>
        <v>7.437395247954254</v>
      </c>
      <c r="I243" s="9"/>
      <c r="J243" s="9"/>
      <c r="K243" s="9"/>
      <c r="L243" s="95">
        <f t="shared" ref="L243:P243" si="155">L168*1000/$F$4/L166</f>
        <v>6.2965439479756657</v>
      </c>
      <c r="M243" s="95">
        <f t="shared" si="155"/>
        <v>4.8110102457928541</v>
      </c>
      <c r="N243" s="95">
        <f t="shared" si="155"/>
        <v>3.6147362245688606</v>
      </c>
      <c r="O243" s="95">
        <f t="shared" si="155"/>
        <v>4.8896765352039049</v>
      </c>
      <c r="P243" s="95">
        <f t="shared" si="155"/>
        <v>5.9780047251899928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3">
      <c r="A245" s="65" t="s">
        <v>373</v>
      </c>
      <c r="B245" s="65" t="s">
        <v>56</v>
      </c>
      <c r="C245" s="2" t="s">
        <v>374</v>
      </c>
      <c r="D245" s="9">
        <f t="shared" ref="D245:H245" si="156">AVERAGE(D229:D231)</f>
        <v>6.8665173125769217</v>
      </c>
      <c r="E245" s="9">
        <f t="shared" si="156"/>
        <v>6.2764700674161569</v>
      </c>
      <c r="F245" s="9">
        <f t="shared" si="156"/>
        <v>6.621086446528607</v>
      </c>
      <c r="G245" s="9">
        <f t="shared" si="156"/>
        <v>6.9850747502781632</v>
      </c>
      <c r="H245" s="9">
        <f t="shared" si="156"/>
        <v>10.044713434723407</v>
      </c>
      <c r="I245" s="9"/>
      <c r="J245" s="9"/>
      <c r="K245" s="9"/>
      <c r="L245" s="9">
        <f t="shared" ref="L245:P245" si="157">AVERAGE(L229:L231)</f>
        <v>6.0590762316405202</v>
      </c>
      <c r="M245" s="9">
        <f t="shared" si="157"/>
        <v>5.5670809641244645</v>
      </c>
      <c r="N245" s="9">
        <f t="shared" si="157"/>
        <v>6.986204446778423</v>
      </c>
      <c r="O245" s="9">
        <f t="shared" si="157"/>
        <v>6.6668366590335291</v>
      </c>
      <c r="P245" s="9">
        <f t="shared" si="157"/>
        <v>6.668609850419319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65" t="s">
        <v>375</v>
      </c>
      <c r="B246" s="65" t="s">
        <v>56</v>
      </c>
      <c r="C246" s="2" t="s">
        <v>376</v>
      </c>
      <c r="D246" s="9">
        <f t="shared" ref="D246:H246" si="158">AVERAGE(D230:D232)</f>
        <v>6.3533933393111957</v>
      </c>
      <c r="E246" s="9">
        <f t="shared" si="158"/>
        <v>6.3071619813243425</v>
      </c>
      <c r="F246" s="9">
        <f t="shared" si="158"/>
        <v>6.1571303719484156</v>
      </c>
      <c r="G246" s="9">
        <f t="shared" si="158"/>
        <v>6.7108803008724829</v>
      </c>
      <c r="H246" s="9">
        <f t="shared" si="158"/>
        <v>8.2386807408849752</v>
      </c>
      <c r="I246" s="9"/>
      <c r="J246" s="9"/>
      <c r="K246" s="9"/>
      <c r="L246" s="9">
        <f t="shared" ref="L246:P246" si="159">AVERAGE(L230:L232)</f>
        <v>7.2714484504882</v>
      </c>
      <c r="M246" s="9">
        <f t="shared" si="159"/>
        <v>5.8365575328837949</v>
      </c>
      <c r="N246" s="9">
        <f t="shared" si="159"/>
        <v>6.9710724375457964</v>
      </c>
      <c r="O246" s="9">
        <f t="shared" si="159"/>
        <v>6.7346204179451412</v>
      </c>
      <c r="P246" s="9">
        <f t="shared" si="159"/>
        <v>6.5678439798008235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3">
      <c r="A247" s="2" t="s">
        <v>377</v>
      </c>
      <c r="B247" s="65" t="s">
        <v>56</v>
      </c>
      <c r="C247" s="2" t="s">
        <v>378</v>
      </c>
      <c r="D247" s="9">
        <f t="shared" ref="D247:H247" si="160">AVERAGE(D231:D233)</f>
        <v>6.6077555174289868</v>
      </c>
      <c r="E247" s="9">
        <f t="shared" si="160"/>
        <v>6.2344102639595542</v>
      </c>
      <c r="F247" s="9">
        <f t="shared" si="160"/>
        <v>6.5270929896815799</v>
      </c>
      <c r="G247" s="9">
        <f t="shared" si="160"/>
        <v>7.9629859899418252</v>
      </c>
      <c r="H247" s="9">
        <f t="shared" si="160"/>
        <v>15.129591266968001</v>
      </c>
      <c r="I247" s="9"/>
      <c r="J247" s="9"/>
      <c r="K247" s="9"/>
      <c r="L247" s="9">
        <f t="shared" ref="L247:P247" si="161">AVERAGE(L231:L233)</f>
        <v>13.032392566907356</v>
      </c>
      <c r="M247" s="9">
        <f t="shared" si="161"/>
        <v>6.9995343374623653</v>
      </c>
      <c r="N247" s="9">
        <f t="shared" si="161"/>
        <v>8.6802553299631935</v>
      </c>
      <c r="O247" s="9">
        <f t="shared" si="161"/>
        <v>8.6842117933594469</v>
      </c>
      <c r="P247" s="9">
        <f t="shared" si="161"/>
        <v>7.5635986707192551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3">
      <c r="A248" s="2" t="s">
        <v>379</v>
      </c>
      <c r="B248" s="65" t="s">
        <v>56</v>
      </c>
      <c r="C248" s="2" t="s">
        <v>380</v>
      </c>
      <c r="D248" s="9">
        <f t="shared" ref="D248:H248" si="162">AVERAGE(D232:D234)</f>
        <v>6.7804799152974438</v>
      </c>
      <c r="E248" s="9">
        <f t="shared" si="162"/>
        <v>6.1781855831276751</v>
      </c>
      <c r="F248" s="9">
        <f t="shared" si="162"/>
        <v>7.0742702739971728</v>
      </c>
      <c r="G248" s="9">
        <f t="shared" si="162"/>
        <v>7.6013954422315386</v>
      </c>
      <c r="H248" s="9">
        <f t="shared" si="162"/>
        <v>13.672736532469679</v>
      </c>
      <c r="I248" s="9"/>
      <c r="J248" s="9"/>
      <c r="K248" s="9"/>
      <c r="L248" s="9">
        <f t="shared" ref="L248:P248" si="163">AVERAGE(L232:L234)</f>
        <v>13.006504482214682</v>
      </c>
      <c r="M248" s="9">
        <f t="shared" si="163"/>
        <v>7.705271304824751</v>
      </c>
      <c r="N248" s="9">
        <f t="shared" si="163"/>
        <v>9.0892670650673022</v>
      </c>
      <c r="O248" s="9">
        <f t="shared" si="163"/>
        <v>9.0506409102917402</v>
      </c>
      <c r="P248" s="9">
        <f t="shared" si="163"/>
        <v>7.7431625967801425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3">
      <c r="A249" s="2" t="s">
        <v>381</v>
      </c>
      <c r="B249" s="65" t="s">
        <v>56</v>
      </c>
      <c r="C249" s="2" t="s">
        <v>382</v>
      </c>
      <c r="D249" s="9">
        <f t="shared" ref="D249:H249" si="164">AVERAGE(D233:D235)</f>
        <v>7.2479322045680563</v>
      </c>
      <c r="E249" s="9">
        <f t="shared" si="164"/>
        <v>6.6303158851464028</v>
      </c>
      <c r="F249" s="9">
        <f t="shared" si="164"/>
        <v>7.0515424877794795</v>
      </c>
      <c r="G249" s="9">
        <f t="shared" si="164"/>
        <v>7.7934488670801159</v>
      </c>
      <c r="H249" s="9">
        <f t="shared" si="164"/>
        <v>13.064036678309954</v>
      </c>
      <c r="I249" s="9"/>
      <c r="J249" s="9"/>
      <c r="K249" s="9"/>
      <c r="L249" s="9">
        <f t="shared" ref="L249:P249" si="165">AVERAGE(L233:L235)</f>
        <v>12.374778313737801</v>
      </c>
      <c r="M249" s="9">
        <f t="shared" si="165"/>
        <v>7.2358107935058662</v>
      </c>
      <c r="N249" s="9">
        <f t="shared" si="165"/>
        <v>8.8277929153512602</v>
      </c>
      <c r="O249" s="9">
        <f t="shared" si="165"/>
        <v>8.6901451810990551</v>
      </c>
      <c r="P249" s="9">
        <f t="shared" si="165"/>
        <v>7.6792181276599694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3">
      <c r="A250" s="2" t="s">
        <v>383</v>
      </c>
      <c r="B250" s="65" t="s">
        <v>56</v>
      </c>
      <c r="C250" s="2" t="s">
        <v>384</v>
      </c>
      <c r="D250" s="9">
        <f t="shared" ref="D250:H250" si="166">AVERAGE(D234:D236)</f>
        <v>6.3998528370545218</v>
      </c>
      <c r="E250" s="9">
        <f t="shared" si="166"/>
        <v>7.3309266534373068</v>
      </c>
      <c r="F250" s="9">
        <f t="shared" si="166"/>
        <v>6.7633064148289392</v>
      </c>
      <c r="G250" s="9">
        <f t="shared" si="166"/>
        <v>6.7559173875311442</v>
      </c>
      <c r="H250" s="9">
        <f t="shared" si="166"/>
        <v>6.1381792848864052</v>
      </c>
      <c r="I250" s="9"/>
      <c r="J250" s="9"/>
      <c r="K250" s="9"/>
      <c r="L250" s="9">
        <f t="shared" ref="L250:P250" si="167">AVERAGE(L234:L236)</f>
        <v>5.9217727287877722</v>
      </c>
      <c r="M250" s="9">
        <f t="shared" si="167"/>
        <v>6.4992077892668227</v>
      </c>
      <c r="N250" s="9">
        <f t="shared" si="167"/>
        <v>7.3589388768736974</v>
      </c>
      <c r="O250" s="9">
        <f t="shared" si="167"/>
        <v>6.7362381367846131</v>
      </c>
      <c r="P250" s="9">
        <f t="shared" si="167"/>
        <v>6.62624845777583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3">
      <c r="A251" s="2" t="s">
        <v>385</v>
      </c>
      <c r="B251" s="65" t="s">
        <v>56</v>
      </c>
      <c r="C251" s="2" t="s">
        <v>386</v>
      </c>
      <c r="D251" s="9">
        <f t="shared" ref="D251:H251" si="168">AVERAGE(D235:D237)</f>
        <v>6.5386506750024536</v>
      </c>
      <c r="E251" s="9">
        <f t="shared" si="168"/>
        <v>7.5183969623150828</v>
      </c>
      <c r="F251" s="9">
        <f t="shared" si="168"/>
        <v>6.6909837785173805</v>
      </c>
      <c r="G251" s="9">
        <f t="shared" si="168"/>
        <v>6.8089542915931789</v>
      </c>
      <c r="H251" s="9">
        <f t="shared" si="168"/>
        <v>6.330603480514438</v>
      </c>
      <c r="I251" s="9"/>
      <c r="J251" s="9"/>
      <c r="K251" s="9"/>
      <c r="L251" s="9">
        <f t="shared" ref="L251:P251" si="169">AVERAGE(L235:L237)</f>
        <v>4.7518662049385947</v>
      </c>
      <c r="M251" s="9">
        <f t="shared" si="169"/>
        <v>5.7476992525588102</v>
      </c>
      <c r="N251" s="9">
        <f t="shared" si="169"/>
        <v>6.939063538115902</v>
      </c>
      <c r="O251" s="9">
        <f t="shared" si="169"/>
        <v>6.6757172566455631</v>
      </c>
      <c r="P251" s="9">
        <f t="shared" si="169"/>
        <v>6.4968428891626218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3">
      <c r="A252" s="2" t="s">
        <v>387</v>
      </c>
      <c r="B252" s="65" t="s">
        <v>56</v>
      </c>
      <c r="C252" s="2" t="s">
        <v>388</v>
      </c>
      <c r="D252" s="9">
        <f t="shared" ref="D252:H252" si="170">AVERAGE(D236:D238)</f>
        <v>6.0158104261438758</v>
      </c>
      <c r="E252" s="9">
        <f t="shared" si="170"/>
        <v>7.4919916355682341</v>
      </c>
      <c r="F252" s="9">
        <f t="shared" si="170"/>
        <v>7.1827612840237647</v>
      </c>
      <c r="G252" s="9">
        <f t="shared" si="170"/>
        <v>6.5458201670585927</v>
      </c>
      <c r="H252" s="9">
        <f t="shared" si="170"/>
        <v>8.2070520756399858</v>
      </c>
      <c r="I252" s="9"/>
      <c r="J252" s="9"/>
      <c r="K252" s="9"/>
      <c r="L252" s="9">
        <f t="shared" ref="L252:P252" si="171">AVERAGE(L236:L238)</f>
        <v>3.9714550709921084</v>
      </c>
      <c r="M252" s="9">
        <f t="shared" si="171"/>
        <v>6.2056410187443047</v>
      </c>
      <c r="N252" s="9">
        <f t="shared" si="171"/>
        <v>7.3562853377593411</v>
      </c>
      <c r="O252" s="9">
        <f t="shared" si="171"/>
        <v>6.9140605348853752</v>
      </c>
      <c r="P252" s="9">
        <f t="shared" si="171"/>
        <v>6.5899624193095265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3">
      <c r="A253" s="2" t="s">
        <v>389</v>
      </c>
      <c r="B253" s="65" t="s">
        <v>56</v>
      </c>
      <c r="C253" s="2" t="s">
        <v>390</v>
      </c>
      <c r="D253" s="9">
        <f t="shared" ref="D253:H253" si="172">AVERAGE(D237:D239)</f>
        <v>6.6976887338870048</v>
      </c>
      <c r="E253" s="9">
        <f t="shared" si="172"/>
        <v>7.0769060299336042</v>
      </c>
      <c r="F253" s="9">
        <f t="shared" si="172"/>
        <v>7.2179630221344881</v>
      </c>
      <c r="G253" s="9">
        <f t="shared" si="172"/>
        <v>6.5517709504852206</v>
      </c>
      <c r="H253" s="9">
        <f t="shared" si="172"/>
        <v>8.2315099415121757</v>
      </c>
      <c r="I253" s="9"/>
      <c r="J253" s="9"/>
      <c r="K253" s="9"/>
      <c r="L253" s="9">
        <f t="shared" ref="L253:P253" si="173">AVERAGE(L237:L239)</f>
        <v>5.1333902176100752</v>
      </c>
      <c r="M253" s="9">
        <f t="shared" si="173"/>
        <v>6.3416766610523476</v>
      </c>
      <c r="N253" s="9">
        <f t="shared" si="173"/>
        <v>7.3145519602300624</v>
      </c>
      <c r="O253" s="9">
        <f t="shared" si="173"/>
        <v>7.0729174309528888</v>
      </c>
      <c r="P253" s="9">
        <f t="shared" si="173"/>
        <v>6.8056247678367106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3">
      <c r="A254" s="2" t="s">
        <v>391</v>
      </c>
      <c r="B254" s="65" t="s">
        <v>56</v>
      </c>
      <c r="C254" s="2" t="s">
        <v>392</v>
      </c>
      <c r="D254" s="9">
        <f t="shared" ref="D254:H254" si="174">AVERAGE(D238:D240)</f>
        <v>6.8847610448028691</v>
      </c>
      <c r="E254" s="9">
        <f t="shared" si="174"/>
        <v>7.0556821927210196</v>
      </c>
      <c r="F254" s="9">
        <f t="shared" si="174"/>
        <v>6.9992621565922262</v>
      </c>
      <c r="G254" s="9">
        <f t="shared" si="174"/>
        <v>6.6710637807860662</v>
      </c>
      <c r="H254" s="9">
        <f t="shared" si="174"/>
        <v>10.312666646008251</v>
      </c>
      <c r="I254" s="9"/>
      <c r="J254" s="9"/>
      <c r="K254" s="9"/>
      <c r="L254" s="9">
        <f t="shared" ref="L254:P254" si="175">AVERAGE(L238:L240)</f>
        <v>5.7735428733453871</v>
      </c>
      <c r="M254" s="9">
        <f t="shared" si="175"/>
        <v>6.6084425301597021</v>
      </c>
      <c r="N254" s="9">
        <f t="shared" si="175"/>
        <v>7.4866765187519917</v>
      </c>
      <c r="O254" s="9">
        <f t="shared" si="175"/>
        <v>7.1486556592712285</v>
      </c>
      <c r="P254" s="9">
        <f t="shared" si="175"/>
        <v>6.928956901245666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3">
      <c r="A255" s="2" t="s">
        <v>393</v>
      </c>
      <c r="B255" s="65" t="s">
        <v>56</v>
      </c>
      <c r="C255" s="2" t="s">
        <v>394</v>
      </c>
      <c r="D255" s="9">
        <f t="shared" ref="D255:H255" si="176">AVERAGE(D239:D241)</f>
        <v>7.2506086348728092</v>
      </c>
      <c r="E255" s="9">
        <f t="shared" si="176"/>
        <v>7.1265158461739651</v>
      </c>
      <c r="F255" s="9">
        <f t="shared" si="176"/>
        <v>6.9462781659695594</v>
      </c>
      <c r="G255" s="9">
        <f t="shared" si="176"/>
        <v>6.9383554703437964</v>
      </c>
      <c r="H255" s="9">
        <f t="shared" si="176"/>
        <v>9.370455057240985</v>
      </c>
      <c r="I255" s="9"/>
      <c r="J255" s="9"/>
      <c r="K255" s="9"/>
      <c r="L255" s="9">
        <f t="shared" ref="L255:P255" si="177">AVERAGE(L239:L241)</f>
        <v>6.312685122557081</v>
      </c>
      <c r="M255" s="9">
        <f t="shared" si="177"/>
        <v>6.6755693333976156</v>
      </c>
      <c r="N255" s="9">
        <f t="shared" si="177"/>
        <v>7.4281693152833013</v>
      </c>
      <c r="O255" s="9">
        <f t="shared" si="177"/>
        <v>7.1425385724837049</v>
      </c>
      <c r="P255" s="9">
        <f t="shared" si="177"/>
        <v>7.0401425297062552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3">
      <c r="A256" s="2" t="s">
        <v>395</v>
      </c>
      <c r="B256" s="65" t="s">
        <v>56</v>
      </c>
      <c r="C256" s="2" t="s">
        <v>396</v>
      </c>
      <c r="D256" s="9">
        <f t="shared" ref="D256:H256" si="178">AVERAGE(D240:D242)</f>
        <v>7.2640546474011245</v>
      </c>
      <c r="E256" s="9">
        <f t="shared" si="178"/>
        <v>7.2162690274755361</v>
      </c>
      <c r="F256" s="9">
        <f t="shared" si="178"/>
        <v>6.8462945040379326</v>
      </c>
      <c r="G256" s="9">
        <f t="shared" si="178"/>
        <v>6.5572581704176045</v>
      </c>
      <c r="H256" s="9">
        <f t="shared" si="178"/>
        <v>9.8002957425112154</v>
      </c>
      <c r="I256" s="9"/>
      <c r="J256" s="9"/>
      <c r="K256" s="9"/>
      <c r="L256" s="9">
        <f t="shared" ref="L256:P256" si="179">AVERAGE(L240:L242)</f>
        <v>6.1356146883944476</v>
      </c>
      <c r="M256" s="9">
        <f t="shared" si="179"/>
        <v>6.6136125062078142</v>
      </c>
      <c r="N256" s="9">
        <f t="shared" si="179"/>
        <v>7.3899420574730916</v>
      </c>
      <c r="O256" s="9">
        <f t="shared" si="179"/>
        <v>7.2428573478102152</v>
      </c>
      <c r="P256" s="9">
        <f t="shared" si="179"/>
        <v>6.9980051865053392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3">
      <c r="A257" s="2" t="s">
        <v>397</v>
      </c>
      <c r="B257" s="65" t="s">
        <v>56</v>
      </c>
      <c r="C257" s="2" t="s">
        <v>398</v>
      </c>
      <c r="D257" s="9">
        <f t="shared" ref="D257:H257" si="180">AVERAGE(D241:D243)</f>
        <v>7.0473467596483461</v>
      </c>
      <c r="E257" s="9">
        <f t="shared" si="180"/>
        <v>7.0800460045353795</v>
      </c>
      <c r="F257" s="9">
        <f t="shared" si="180"/>
        <v>6.9446877682221269</v>
      </c>
      <c r="G257" s="9">
        <f t="shared" si="180"/>
        <v>6.340784845514861</v>
      </c>
      <c r="H257" s="9">
        <f t="shared" si="180"/>
        <v>7.7196097375671009</v>
      </c>
      <c r="I257" s="9"/>
      <c r="J257" s="9"/>
      <c r="K257" s="9"/>
      <c r="L257" s="95">
        <f t="shared" ref="L257:P257" si="181">AVERAGE(L241:L243)</f>
        <v>6.408510218406783</v>
      </c>
      <c r="M257" s="95">
        <f t="shared" si="181"/>
        <v>6.1599730813343099</v>
      </c>
      <c r="N257" s="95">
        <f t="shared" si="181"/>
        <v>6.0807080417943995</v>
      </c>
      <c r="O257" s="95">
        <f t="shared" si="181"/>
        <v>6.524938447589034</v>
      </c>
      <c r="P257" s="95">
        <f t="shared" si="181"/>
        <v>6.6677721862844521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>
        <v>31721</v>
      </c>
      <c r="C762" s="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Z1012"/>
  <sheetViews>
    <sheetView topLeftCell="A197" workbookViewId="0">
      <selection activeCell="R218" sqref="R218:R224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3" width="8.44140625" customWidth="1"/>
    <col min="24" max="26" width="8.6640625" customWidth="1"/>
  </cols>
  <sheetData>
    <row r="1" spans="1:26" ht="12.75" customHeight="1" x14ac:dyDescent="0.3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399</v>
      </c>
      <c r="H3" s="8" t="s">
        <v>252</v>
      </c>
      <c r="I3" s="4"/>
      <c r="J3" s="10">
        <v>2007</v>
      </c>
      <c r="K3" s="4">
        <f>SUM(I11:K11)/92</f>
        <v>19.315217391304348</v>
      </c>
      <c r="L3" s="8" t="s">
        <v>7</v>
      </c>
      <c r="M3" s="10">
        <v>2009</v>
      </c>
      <c r="N3" s="4">
        <f>SUM(I33:K33)/92</f>
        <v>20.217391304347824</v>
      </c>
      <c r="O3" s="8" t="s">
        <v>7</v>
      </c>
      <c r="P3" s="10">
        <v>2011</v>
      </c>
      <c r="Q3" s="4">
        <v>18.5</v>
      </c>
      <c r="R3" s="8" t="s">
        <v>7</v>
      </c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 t="s">
        <v>400</v>
      </c>
      <c r="B4" s="2"/>
      <c r="C4" s="2"/>
      <c r="D4" s="8" t="s">
        <v>10</v>
      </c>
      <c r="E4" s="4"/>
      <c r="F4" s="10">
        <f>2.52*F3</f>
        <v>241.92000000000002</v>
      </c>
      <c r="G4" s="8" t="s">
        <v>401</v>
      </c>
      <c r="H4" s="8"/>
      <c r="I4" s="4"/>
      <c r="J4" s="10">
        <v>2008</v>
      </c>
      <c r="K4" s="4">
        <f>SUM(I22:K22)/92</f>
        <v>20.228260869565219</v>
      </c>
      <c r="L4" s="8" t="s">
        <v>7</v>
      </c>
      <c r="M4" s="10">
        <v>2010</v>
      </c>
      <c r="N4" s="4">
        <f>SUM(I44:K44)/92</f>
        <v>17.195652173913043</v>
      </c>
      <c r="O4" s="8" t="s">
        <v>7</v>
      </c>
      <c r="P4" s="10">
        <v>2024</v>
      </c>
      <c r="Q4" s="4">
        <v>13.5</v>
      </c>
      <c r="R4" s="8" t="s">
        <v>7</v>
      </c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82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77">
        <v>31</v>
      </c>
      <c r="E7" s="77">
        <v>28</v>
      </c>
      <c r="F7" s="77">
        <v>31</v>
      </c>
      <c r="G7" s="77">
        <v>30</v>
      </c>
      <c r="H7" s="77">
        <v>31</v>
      </c>
      <c r="I7" s="77">
        <v>30</v>
      </c>
      <c r="J7" s="77">
        <v>31</v>
      </c>
      <c r="K7" s="77">
        <v>31</v>
      </c>
      <c r="L7" s="77">
        <v>30</v>
      </c>
      <c r="M7" s="77">
        <v>31</v>
      </c>
      <c r="N7" s="77">
        <v>30</v>
      </c>
      <c r="O7" s="77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402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1038</v>
      </c>
      <c r="E9" s="31">
        <v>1092</v>
      </c>
      <c r="F9" s="31">
        <v>693</v>
      </c>
      <c r="G9" s="31">
        <v>631</v>
      </c>
      <c r="H9" s="31">
        <v>427</v>
      </c>
      <c r="I9" s="31">
        <v>295</v>
      </c>
      <c r="J9" s="31">
        <v>228</v>
      </c>
      <c r="K9" s="31">
        <v>314</v>
      </c>
      <c r="L9" s="31">
        <v>432</v>
      </c>
      <c r="M9" s="31">
        <v>615</v>
      </c>
      <c r="N9" s="31">
        <v>852</v>
      </c>
      <c r="O9" s="31">
        <v>847</v>
      </c>
      <c r="P9" s="31">
        <f t="shared" ref="P9:P15" si="0">SUM(D9:O9)</f>
        <v>7464</v>
      </c>
      <c r="Q9" s="2"/>
      <c r="R9" s="34"/>
      <c r="S9" s="34"/>
      <c r="T9" s="36"/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768</v>
      </c>
      <c r="E10" s="31">
        <v>843</v>
      </c>
      <c r="F10" s="31">
        <v>662</v>
      </c>
      <c r="G10" s="31">
        <v>631</v>
      </c>
      <c r="H10" s="31">
        <v>478</v>
      </c>
      <c r="I10" s="31">
        <v>329</v>
      </c>
      <c r="J10" s="31">
        <v>244</v>
      </c>
      <c r="K10" s="31">
        <v>367</v>
      </c>
      <c r="L10" s="31">
        <v>482</v>
      </c>
      <c r="M10" s="31">
        <v>565</v>
      </c>
      <c r="N10" s="31">
        <v>672</v>
      </c>
      <c r="O10" s="31">
        <v>666</v>
      </c>
      <c r="P10" s="31">
        <f t="shared" si="0"/>
        <v>6707</v>
      </c>
      <c r="Q10" s="39"/>
      <c r="R10" s="34"/>
      <c r="S10" s="34"/>
      <c r="T10" s="36"/>
      <c r="U10" s="11"/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1">SUM(D9:D10)</f>
        <v>1806</v>
      </c>
      <c r="E11" s="31">
        <f t="shared" si="1"/>
        <v>1935</v>
      </c>
      <c r="F11" s="31">
        <f t="shared" si="1"/>
        <v>1355</v>
      </c>
      <c r="G11" s="31">
        <f t="shared" si="1"/>
        <v>1262</v>
      </c>
      <c r="H11" s="31">
        <f t="shared" si="1"/>
        <v>905</v>
      </c>
      <c r="I11" s="31">
        <f t="shared" si="1"/>
        <v>624</v>
      </c>
      <c r="J11" s="31">
        <f t="shared" si="1"/>
        <v>472</v>
      </c>
      <c r="K11" s="31">
        <f t="shared" si="1"/>
        <v>681</v>
      </c>
      <c r="L11" s="31">
        <f t="shared" si="1"/>
        <v>914</v>
      </c>
      <c r="M11" s="31">
        <f t="shared" si="1"/>
        <v>1180</v>
      </c>
      <c r="N11" s="31">
        <f t="shared" si="1"/>
        <v>1524</v>
      </c>
      <c r="O11" s="31">
        <f t="shared" si="1"/>
        <v>1513</v>
      </c>
      <c r="P11" s="40">
        <f t="shared" si="0"/>
        <v>14171</v>
      </c>
      <c r="Q11" s="39"/>
      <c r="R11" s="34"/>
      <c r="S11" s="34"/>
      <c r="T11" s="34"/>
      <c r="U11" s="11"/>
      <c r="V11" s="2"/>
      <c r="W11" s="2"/>
      <c r="X11" s="2"/>
      <c r="Y11" s="2"/>
      <c r="Z11" s="2"/>
    </row>
    <row r="12" spans="1:26" ht="12.75" customHeight="1" x14ac:dyDescent="0.25">
      <c r="A12" s="24">
        <v>2007</v>
      </c>
      <c r="B12" s="41" t="s">
        <v>36</v>
      </c>
      <c r="C12" s="26" t="s">
        <v>403</v>
      </c>
      <c r="D12" s="31">
        <v>636</v>
      </c>
      <c r="E12" s="31">
        <v>781</v>
      </c>
      <c r="F12" s="31">
        <v>457</v>
      </c>
      <c r="G12" s="31">
        <v>338</v>
      </c>
      <c r="H12" s="31">
        <v>102</v>
      </c>
      <c r="I12" s="31">
        <v>0</v>
      </c>
      <c r="J12" s="31">
        <v>0</v>
      </c>
      <c r="K12" s="31">
        <v>47</v>
      </c>
      <c r="L12" s="31">
        <v>166</v>
      </c>
      <c r="M12" s="31">
        <v>347</v>
      </c>
      <c r="N12" s="31">
        <v>529</v>
      </c>
      <c r="O12" s="31">
        <v>496</v>
      </c>
      <c r="P12" s="31">
        <f t="shared" si="0"/>
        <v>3899</v>
      </c>
      <c r="Q12" s="43"/>
      <c r="R12" s="11"/>
      <c r="S12" s="34"/>
      <c r="T12" s="34"/>
      <c r="U12" s="11"/>
      <c r="V12" s="34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39</v>
      </c>
      <c r="C13" s="26" t="s">
        <v>404</v>
      </c>
      <c r="D13" s="31">
        <v>743</v>
      </c>
      <c r="E13" s="31">
        <v>693</v>
      </c>
      <c r="F13" s="31">
        <v>621</v>
      </c>
      <c r="G13" s="31">
        <v>422</v>
      </c>
      <c r="H13" s="31">
        <v>174</v>
      </c>
      <c r="I13" s="31">
        <v>25</v>
      </c>
      <c r="J13" s="31">
        <v>7</v>
      </c>
      <c r="K13" s="31">
        <v>36</v>
      </c>
      <c r="L13" s="31">
        <v>217</v>
      </c>
      <c r="M13" s="31">
        <v>398</v>
      </c>
      <c r="N13" s="31">
        <v>538</v>
      </c>
      <c r="O13" s="31">
        <v>681</v>
      </c>
      <c r="P13" s="31">
        <f t="shared" si="0"/>
        <v>4555</v>
      </c>
      <c r="Q13" s="2"/>
      <c r="R13" s="36"/>
      <c r="S13" s="2"/>
      <c r="T13" s="43"/>
      <c r="U13" s="43"/>
      <c r="V13" s="43"/>
      <c r="W13" s="2"/>
      <c r="X13" s="2"/>
      <c r="Y13" s="2"/>
      <c r="Z13" s="2"/>
    </row>
    <row r="14" spans="1:26" ht="12.75" customHeight="1" x14ac:dyDescent="0.25">
      <c r="A14" s="24">
        <v>2007</v>
      </c>
      <c r="B14" s="25" t="s">
        <v>42</v>
      </c>
      <c r="C14" s="30" t="s">
        <v>30</v>
      </c>
      <c r="D14" s="31">
        <f t="shared" ref="D14:I14" si="2">D11-D7*($K$3)</f>
        <v>1207.2282608695652</v>
      </c>
      <c r="E14" s="31">
        <f t="shared" si="2"/>
        <v>1394.1739130434783</v>
      </c>
      <c r="F14" s="31">
        <f t="shared" si="2"/>
        <v>756.22826086956525</v>
      </c>
      <c r="G14" s="31">
        <f t="shared" si="2"/>
        <v>682.54347826086962</v>
      </c>
      <c r="H14" s="31">
        <f t="shared" si="2"/>
        <v>306.22826086956525</v>
      </c>
      <c r="I14" s="31">
        <f t="shared" si="2"/>
        <v>44.54347826086962</v>
      </c>
      <c r="J14" s="31">
        <v>0</v>
      </c>
      <c r="K14" s="31">
        <f t="shared" ref="K14:O14" si="3">K11-K7*($K$3)</f>
        <v>82.228260869565247</v>
      </c>
      <c r="L14" s="31">
        <f t="shared" si="3"/>
        <v>334.54347826086962</v>
      </c>
      <c r="M14" s="31">
        <f t="shared" si="3"/>
        <v>581.22826086956525</v>
      </c>
      <c r="N14" s="31">
        <f t="shared" si="3"/>
        <v>944.54347826086962</v>
      </c>
      <c r="O14" s="31">
        <f t="shared" si="3"/>
        <v>914.22826086956525</v>
      </c>
      <c r="P14" s="31">
        <f t="shared" si="0"/>
        <v>7247.7173913043489</v>
      </c>
      <c r="Q14" s="2"/>
      <c r="R14" s="2"/>
      <c r="S14" s="2"/>
      <c r="T14" s="11"/>
      <c r="U14" s="2"/>
      <c r="V14" s="2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43</v>
      </c>
      <c r="C15" s="30" t="s">
        <v>30</v>
      </c>
      <c r="D15" s="31">
        <f t="shared" ref="D15:H15" si="4">IF(D14&lt;0,0,((D13/D12))*D14)</f>
        <v>1410.3311286573694</v>
      </c>
      <c r="E15" s="31">
        <f t="shared" si="4"/>
        <v>1237.0838946723823</v>
      </c>
      <c r="F15" s="31">
        <f t="shared" si="4"/>
        <v>1027.6099562363238</v>
      </c>
      <c r="G15" s="31">
        <f t="shared" si="4"/>
        <v>852.16966812451767</v>
      </c>
      <c r="H15" s="31">
        <f t="shared" si="4"/>
        <v>522.38938618925829</v>
      </c>
      <c r="I15" s="31">
        <f>I14</f>
        <v>44.54347826086962</v>
      </c>
      <c r="J15" s="31">
        <v>0</v>
      </c>
      <c r="K15" s="31">
        <v>0</v>
      </c>
      <c r="L15" s="31">
        <f t="shared" ref="L15:O15" si="5">IF(L14&lt;0,0,((L13/L12))*L14)</f>
        <v>437.32490832896815</v>
      </c>
      <c r="M15" s="31">
        <f t="shared" si="5"/>
        <v>666.65374013281541</v>
      </c>
      <c r="N15" s="31">
        <f t="shared" si="5"/>
        <v>960.6132160762719</v>
      </c>
      <c r="O15" s="31">
        <f t="shared" si="5"/>
        <v>1255.2206565568024</v>
      </c>
      <c r="P15" s="40">
        <f t="shared" si="0"/>
        <v>8413.9400332355799</v>
      </c>
      <c r="Q15" s="39"/>
      <c r="R15" s="34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2"/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12" t="s">
        <v>12</v>
      </c>
      <c r="B17" s="13"/>
      <c r="C17" s="14"/>
      <c r="D17" s="15" t="s">
        <v>13</v>
      </c>
      <c r="E17" s="15" t="s">
        <v>14</v>
      </c>
      <c r="F17" s="15" t="s">
        <v>15</v>
      </c>
      <c r="G17" s="15" t="s">
        <v>16</v>
      </c>
      <c r="H17" s="15" t="s">
        <v>17</v>
      </c>
      <c r="I17" s="15" t="s">
        <v>18</v>
      </c>
      <c r="J17" s="15" t="s">
        <v>19</v>
      </c>
      <c r="K17" s="15" t="s">
        <v>20</v>
      </c>
      <c r="L17" s="15" t="s">
        <v>21</v>
      </c>
      <c r="M17" s="15" t="s">
        <v>22</v>
      </c>
      <c r="N17" s="15" t="s">
        <v>23</v>
      </c>
      <c r="O17" s="15" t="s">
        <v>24</v>
      </c>
      <c r="P17" s="15" t="s">
        <v>25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hidden="1" customHeight="1" x14ac:dyDescent="0.25">
      <c r="A18" s="12"/>
      <c r="B18" s="13"/>
      <c r="C18" s="14"/>
      <c r="D18" s="77">
        <v>31</v>
      </c>
      <c r="E18" s="77">
        <v>29</v>
      </c>
      <c r="F18" s="77">
        <v>31</v>
      </c>
      <c r="G18" s="77">
        <v>30</v>
      </c>
      <c r="H18" s="77">
        <v>31</v>
      </c>
      <c r="I18" s="77">
        <v>30</v>
      </c>
      <c r="J18" s="77">
        <v>31</v>
      </c>
      <c r="K18" s="77">
        <v>31</v>
      </c>
      <c r="L18" s="77">
        <v>30</v>
      </c>
      <c r="M18" s="77">
        <v>31</v>
      </c>
      <c r="N18" s="77">
        <v>30</v>
      </c>
      <c r="O18" s="77">
        <v>31</v>
      </c>
      <c r="P18" s="15">
        <f>SUM(D18:O18)</f>
        <v>366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4">
        <v>2008</v>
      </c>
      <c r="B19" s="25" t="s">
        <v>27</v>
      </c>
      <c r="C19" s="26" t="s">
        <v>405</v>
      </c>
      <c r="D19" s="27">
        <v>-1.1000000000000001</v>
      </c>
      <c r="E19" s="27">
        <v>-0.3</v>
      </c>
      <c r="F19" s="27">
        <v>-0.5</v>
      </c>
      <c r="G19" s="27">
        <v>6.8</v>
      </c>
      <c r="H19" s="27">
        <v>10.1</v>
      </c>
      <c r="I19" s="27">
        <v>13.9</v>
      </c>
      <c r="J19" s="27">
        <v>16.3</v>
      </c>
      <c r="K19" s="27">
        <v>14.4</v>
      </c>
      <c r="L19" s="27">
        <v>9.1</v>
      </c>
      <c r="M19" s="27">
        <v>7.1</v>
      </c>
      <c r="N19" s="27">
        <v>1.4</v>
      </c>
      <c r="O19" s="27">
        <v>-0.3</v>
      </c>
      <c r="P19" s="27">
        <f>AVERAGE(D19:O19)</f>
        <v>6.4083333333333341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4">
        <v>2008</v>
      </c>
      <c r="B20" s="25" t="s">
        <v>29</v>
      </c>
      <c r="C20" s="30" t="s">
        <v>30</v>
      </c>
      <c r="D20" s="31">
        <v>937</v>
      </c>
      <c r="E20" s="31">
        <v>791</v>
      </c>
      <c r="F20" s="31">
        <v>926</v>
      </c>
      <c r="G20" s="31">
        <v>590</v>
      </c>
      <c r="H20" s="31">
        <v>448</v>
      </c>
      <c r="I20" s="31">
        <v>280</v>
      </c>
      <c r="J20" s="31">
        <v>251</v>
      </c>
      <c r="K20" s="31">
        <v>288</v>
      </c>
      <c r="L20" s="31">
        <v>470</v>
      </c>
      <c r="M20" s="31">
        <v>612</v>
      </c>
      <c r="N20" s="31">
        <v>807</v>
      </c>
      <c r="O20" s="31">
        <v>922</v>
      </c>
      <c r="P20" s="31">
        <f t="shared" ref="P20:P26" si="6">SUM(D20:O20)</f>
        <v>7322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4">
        <v>2008</v>
      </c>
      <c r="B21" s="25" t="s">
        <v>31</v>
      </c>
      <c r="C21" s="30" t="s">
        <v>30</v>
      </c>
      <c r="D21" s="31">
        <v>753</v>
      </c>
      <c r="E21" s="31">
        <v>622</v>
      </c>
      <c r="F21" s="31">
        <v>829</v>
      </c>
      <c r="G21" s="31">
        <v>633</v>
      </c>
      <c r="H21" s="31">
        <v>534</v>
      </c>
      <c r="I21" s="31">
        <v>389</v>
      </c>
      <c r="J21" s="31">
        <v>311</v>
      </c>
      <c r="K21" s="31">
        <v>342</v>
      </c>
      <c r="L21" s="31">
        <v>482</v>
      </c>
      <c r="M21" s="31">
        <v>528</v>
      </c>
      <c r="N21" s="31">
        <v>618</v>
      </c>
      <c r="O21" s="31">
        <v>689</v>
      </c>
      <c r="P21" s="31">
        <f t="shared" si="6"/>
        <v>6730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4">
        <v>2008</v>
      </c>
      <c r="B22" s="25" t="s">
        <v>32</v>
      </c>
      <c r="C22" s="30" t="s">
        <v>30</v>
      </c>
      <c r="D22" s="31">
        <f t="shared" ref="D22:O22" si="7">SUM(D20:D21)</f>
        <v>1690</v>
      </c>
      <c r="E22" s="31">
        <f t="shared" si="7"/>
        <v>1413</v>
      </c>
      <c r="F22" s="31">
        <f t="shared" si="7"/>
        <v>1755</v>
      </c>
      <c r="G22" s="31">
        <f t="shared" si="7"/>
        <v>1223</v>
      </c>
      <c r="H22" s="31">
        <f t="shared" si="7"/>
        <v>982</v>
      </c>
      <c r="I22" s="31">
        <f t="shared" si="7"/>
        <v>669</v>
      </c>
      <c r="J22" s="31">
        <f t="shared" si="7"/>
        <v>562</v>
      </c>
      <c r="K22" s="31">
        <f t="shared" si="7"/>
        <v>630</v>
      </c>
      <c r="L22" s="31">
        <f t="shared" si="7"/>
        <v>952</v>
      </c>
      <c r="M22" s="31">
        <f t="shared" si="7"/>
        <v>1140</v>
      </c>
      <c r="N22" s="31">
        <f t="shared" si="7"/>
        <v>1425</v>
      </c>
      <c r="O22" s="31">
        <f t="shared" si="7"/>
        <v>1611</v>
      </c>
      <c r="P22" s="40">
        <f t="shared" si="6"/>
        <v>14052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24">
        <v>2008</v>
      </c>
      <c r="B23" s="41" t="s">
        <v>36</v>
      </c>
      <c r="C23" s="26" t="s">
        <v>406</v>
      </c>
      <c r="D23" s="31">
        <v>560</v>
      </c>
      <c r="E23" s="31">
        <v>505</v>
      </c>
      <c r="F23" s="31">
        <v>564</v>
      </c>
      <c r="G23" s="31">
        <v>321</v>
      </c>
      <c r="H23" s="31">
        <v>159</v>
      </c>
      <c r="I23" s="31">
        <v>8</v>
      </c>
      <c r="J23" s="31">
        <v>0</v>
      </c>
      <c r="K23" s="31">
        <v>33</v>
      </c>
      <c r="L23" s="31">
        <v>225</v>
      </c>
      <c r="M23" s="31">
        <v>304</v>
      </c>
      <c r="N23" s="31">
        <v>465</v>
      </c>
      <c r="O23" s="31">
        <v>537</v>
      </c>
      <c r="P23" s="31">
        <f t="shared" si="6"/>
        <v>3681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24">
        <v>2008</v>
      </c>
      <c r="B24" s="41" t="s">
        <v>39</v>
      </c>
      <c r="C24" s="26" t="s">
        <v>407</v>
      </c>
      <c r="D24" s="31">
        <v>743</v>
      </c>
      <c r="E24" s="31">
        <v>693</v>
      </c>
      <c r="F24" s="31">
        <v>621</v>
      </c>
      <c r="G24" s="31">
        <v>422</v>
      </c>
      <c r="H24" s="31">
        <v>174</v>
      </c>
      <c r="I24" s="31">
        <v>25</v>
      </c>
      <c r="J24" s="31">
        <v>7</v>
      </c>
      <c r="K24" s="31">
        <v>36</v>
      </c>
      <c r="L24" s="31">
        <v>217</v>
      </c>
      <c r="M24" s="31">
        <v>398</v>
      </c>
      <c r="N24" s="31">
        <v>538</v>
      </c>
      <c r="O24" s="31">
        <v>681</v>
      </c>
      <c r="P24" s="31">
        <f t="shared" si="6"/>
        <v>4555</v>
      </c>
      <c r="Q24" s="2"/>
      <c r="R24" s="11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24">
        <v>2008</v>
      </c>
      <c r="B25" s="25" t="s">
        <v>42</v>
      </c>
      <c r="C25" s="30" t="s">
        <v>30</v>
      </c>
      <c r="D25" s="31">
        <f>D22-D18*($K$4)</f>
        <v>1062.9239130434783</v>
      </c>
      <c r="E25" s="31">
        <f t="shared" ref="E25:I25" si="8">E22-E18*($K$3)</f>
        <v>852.85869565217388</v>
      </c>
      <c r="F25" s="31">
        <f t="shared" si="8"/>
        <v>1156.2282608695652</v>
      </c>
      <c r="G25" s="31">
        <f t="shared" si="8"/>
        <v>643.54347826086962</v>
      </c>
      <c r="H25" s="31">
        <f t="shared" si="8"/>
        <v>383.22826086956525</v>
      </c>
      <c r="I25" s="31">
        <f t="shared" si="8"/>
        <v>89.54347826086962</v>
      </c>
      <c r="J25" s="31">
        <v>0</v>
      </c>
      <c r="K25" s="31">
        <v>0</v>
      </c>
      <c r="L25" s="31">
        <f t="shared" ref="L25:O25" si="9">L22-L18*($K$3)</f>
        <v>372.54347826086962</v>
      </c>
      <c r="M25" s="31">
        <f t="shared" si="9"/>
        <v>541.22826086956525</v>
      </c>
      <c r="N25" s="31">
        <f t="shared" si="9"/>
        <v>845.54347826086962</v>
      </c>
      <c r="O25" s="31">
        <f t="shared" si="9"/>
        <v>1012.2282608695652</v>
      </c>
      <c r="P25" s="31">
        <f t="shared" si="6"/>
        <v>6959.8695652173919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4">
        <v>2008</v>
      </c>
      <c r="B26" s="25" t="s">
        <v>43</v>
      </c>
      <c r="C26" s="30" t="s">
        <v>30</v>
      </c>
      <c r="D26" s="31">
        <f t="shared" ref="D26:H26" si="10">IF(D25&lt;0,0,((D24/D23))*D25)</f>
        <v>1410.2722631987576</v>
      </c>
      <c r="E26" s="31">
        <f t="shared" si="10"/>
        <v>1170.3585665088249</v>
      </c>
      <c r="F26" s="31">
        <f t="shared" si="10"/>
        <v>1273.0811170212764</v>
      </c>
      <c r="G26" s="31">
        <f t="shared" si="10"/>
        <v>846.02912095354191</v>
      </c>
      <c r="H26" s="31">
        <f t="shared" si="10"/>
        <v>419.38187038556197</v>
      </c>
      <c r="I26" s="42">
        <f>I25</f>
        <v>89.54347826086962</v>
      </c>
      <c r="J26" s="42">
        <v>0</v>
      </c>
      <c r="K26" s="42">
        <v>0</v>
      </c>
      <c r="L26" s="31">
        <f t="shared" ref="L26:O26" si="11">IF(L25&lt;0,0,((L24/L23))*L25)</f>
        <v>359.29748792270539</v>
      </c>
      <c r="M26" s="31">
        <f t="shared" si="11"/>
        <v>708.58173627002282</v>
      </c>
      <c r="N26" s="31">
        <f t="shared" si="11"/>
        <v>978.28471248246854</v>
      </c>
      <c r="O26" s="31">
        <f t="shared" si="11"/>
        <v>1283.6637721641971</v>
      </c>
      <c r="P26" s="40">
        <f t="shared" si="6"/>
        <v>8538.4941251682267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2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12" t="s">
        <v>12</v>
      </c>
      <c r="B28" s="13"/>
      <c r="C28" s="14"/>
      <c r="D28" s="15" t="s">
        <v>13</v>
      </c>
      <c r="E28" s="15" t="s">
        <v>14</v>
      </c>
      <c r="F28" s="15" t="s">
        <v>15</v>
      </c>
      <c r="G28" s="15" t="s">
        <v>16</v>
      </c>
      <c r="H28" s="15" t="s">
        <v>17</v>
      </c>
      <c r="I28" s="15" t="s">
        <v>18</v>
      </c>
      <c r="J28" s="15" t="s">
        <v>19</v>
      </c>
      <c r="K28" s="15" t="s">
        <v>20</v>
      </c>
      <c r="L28" s="15" t="s">
        <v>21</v>
      </c>
      <c r="M28" s="15" t="s">
        <v>22</v>
      </c>
      <c r="N28" s="15" t="s">
        <v>23</v>
      </c>
      <c r="O28" s="15" t="s">
        <v>24</v>
      </c>
      <c r="P28" s="15" t="s">
        <v>25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hidden="1" customHeight="1" x14ac:dyDescent="0.25">
      <c r="A29" s="12"/>
      <c r="B29" s="13"/>
      <c r="C29" s="14"/>
      <c r="D29" s="77">
        <v>31</v>
      </c>
      <c r="E29" s="77">
        <v>28</v>
      </c>
      <c r="F29" s="77">
        <v>31</v>
      </c>
      <c r="G29" s="77">
        <v>30</v>
      </c>
      <c r="H29" s="77">
        <v>31</v>
      </c>
      <c r="I29" s="77">
        <v>30</v>
      </c>
      <c r="J29" s="77">
        <v>31</v>
      </c>
      <c r="K29" s="77">
        <v>31</v>
      </c>
      <c r="L29" s="77">
        <v>30</v>
      </c>
      <c r="M29" s="77">
        <v>31</v>
      </c>
      <c r="N29" s="77">
        <v>30</v>
      </c>
      <c r="O29" s="77">
        <v>31</v>
      </c>
      <c r="P29" s="15">
        <f>SUM(D29:O29)</f>
        <v>365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24">
        <v>2009</v>
      </c>
      <c r="B30" s="25" t="s">
        <v>27</v>
      </c>
      <c r="C30" s="26" t="s">
        <v>408</v>
      </c>
      <c r="D30" s="27">
        <v>-4.3</v>
      </c>
      <c r="E30" s="27">
        <v>-4.0999999999999996</v>
      </c>
      <c r="F30" s="27">
        <v>-2.8</v>
      </c>
      <c r="G30" s="27">
        <v>3.9</v>
      </c>
      <c r="H30" s="27">
        <v>10.4</v>
      </c>
      <c r="I30" s="27">
        <v>13.3</v>
      </c>
      <c r="J30" s="27">
        <v>16.100000000000001</v>
      </c>
      <c r="K30" s="27">
        <v>14.8</v>
      </c>
      <c r="L30" s="27">
        <v>11.3</v>
      </c>
      <c r="M30" s="27">
        <v>1.7</v>
      </c>
      <c r="N30" s="27">
        <v>0.9</v>
      </c>
      <c r="O30" s="27">
        <v>-7.5</v>
      </c>
      <c r="P30" s="27">
        <f>AVERAGE(D30:O30)</f>
        <v>4.4749999999999996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24">
        <v>2009</v>
      </c>
      <c r="B31" s="25" t="s">
        <v>29</v>
      </c>
      <c r="C31" s="30" t="s">
        <v>30</v>
      </c>
      <c r="D31" s="31">
        <v>982</v>
      </c>
      <c r="E31" s="31">
        <v>885</v>
      </c>
      <c r="F31" s="31">
        <v>813</v>
      </c>
      <c r="G31" s="31">
        <v>673</v>
      </c>
      <c r="H31" s="31">
        <v>392</v>
      </c>
      <c r="I31" s="31">
        <v>330</v>
      </c>
      <c r="J31" s="31">
        <v>235</v>
      </c>
      <c r="K31" s="31">
        <v>269</v>
      </c>
      <c r="L31" s="31">
        <v>337</v>
      </c>
      <c r="M31" s="31">
        <v>707</v>
      </c>
      <c r="N31" s="31">
        <v>811</v>
      </c>
      <c r="O31" s="31">
        <v>1026</v>
      </c>
      <c r="P31" s="31">
        <f t="shared" ref="P31:P37" si="12">SUM(D31:O31)</f>
        <v>7460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24">
        <v>2009</v>
      </c>
      <c r="B32" s="25" t="s">
        <v>31</v>
      </c>
      <c r="C32" s="30" t="s">
        <v>30</v>
      </c>
      <c r="D32" s="31">
        <v>755</v>
      </c>
      <c r="E32" s="31">
        <v>729</v>
      </c>
      <c r="F32" s="31">
        <v>720</v>
      </c>
      <c r="G32" s="31">
        <v>653</v>
      </c>
      <c r="H32" s="31">
        <v>520</v>
      </c>
      <c r="I32" s="31">
        <v>422</v>
      </c>
      <c r="J32" s="31">
        <v>289</v>
      </c>
      <c r="K32" s="31">
        <v>315</v>
      </c>
      <c r="L32" s="31">
        <v>401</v>
      </c>
      <c r="M32" s="31">
        <v>618</v>
      </c>
      <c r="N32" s="31">
        <v>595</v>
      </c>
      <c r="O32" s="31">
        <v>769</v>
      </c>
      <c r="P32" s="31">
        <f t="shared" si="12"/>
        <v>6786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24">
        <v>2009</v>
      </c>
      <c r="B33" s="25" t="s">
        <v>32</v>
      </c>
      <c r="C33" s="30" t="s">
        <v>30</v>
      </c>
      <c r="D33" s="31">
        <f t="shared" ref="D33:O33" si="13">SUM(D31:D32)</f>
        <v>1737</v>
      </c>
      <c r="E33" s="31">
        <f t="shared" si="13"/>
        <v>1614</v>
      </c>
      <c r="F33" s="31">
        <f t="shared" si="13"/>
        <v>1533</v>
      </c>
      <c r="G33" s="31">
        <f t="shared" si="13"/>
        <v>1326</v>
      </c>
      <c r="H33" s="31">
        <f t="shared" si="13"/>
        <v>912</v>
      </c>
      <c r="I33" s="31">
        <f t="shared" si="13"/>
        <v>752</v>
      </c>
      <c r="J33" s="31">
        <f t="shared" si="13"/>
        <v>524</v>
      </c>
      <c r="K33" s="31">
        <f t="shared" si="13"/>
        <v>584</v>
      </c>
      <c r="L33" s="31">
        <f t="shared" si="13"/>
        <v>738</v>
      </c>
      <c r="M33" s="31">
        <f t="shared" si="13"/>
        <v>1325</v>
      </c>
      <c r="N33" s="31">
        <f t="shared" si="13"/>
        <v>1406</v>
      </c>
      <c r="O33" s="31">
        <f t="shared" si="13"/>
        <v>1795</v>
      </c>
      <c r="P33" s="40">
        <f t="shared" si="12"/>
        <v>14246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4">
        <v>2009</v>
      </c>
      <c r="B34" s="41" t="s">
        <v>36</v>
      </c>
      <c r="C34" s="26" t="s">
        <v>409</v>
      </c>
      <c r="D34" s="31">
        <v>681</v>
      </c>
      <c r="E34" s="31">
        <v>636</v>
      </c>
      <c r="F34" s="31">
        <v>602</v>
      </c>
      <c r="G34" s="31">
        <v>370</v>
      </c>
      <c r="H34" s="31">
        <v>108</v>
      </c>
      <c r="I34" s="31">
        <v>56</v>
      </c>
      <c r="J34" s="31">
        <v>6</v>
      </c>
      <c r="K34" s="31">
        <v>11</v>
      </c>
      <c r="L34" s="31">
        <v>106</v>
      </c>
      <c r="M34" s="31">
        <v>452</v>
      </c>
      <c r="N34" s="31">
        <v>461</v>
      </c>
      <c r="O34" s="31">
        <v>734</v>
      </c>
      <c r="P34" s="31">
        <f t="shared" si="12"/>
        <v>4223</v>
      </c>
      <c r="Q34" s="83"/>
      <c r="R34" s="84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4">
        <v>2009</v>
      </c>
      <c r="B35" s="41" t="s">
        <v>39</v>
      </c>
      <c r="C35" s="26" t="s">
        <v>410</v>
      </c>
      <c r="D35" s="31">
        <v>743</v>
      </c>
      <c r="E35" s="31">
        <v>693</v>
      </c>
      <c r="F35" s="31">
        <v>621</v>
      </c>
      <c r="G35" s="31">
        <v>422</v>
      </c>
      <c r="H35" s="31">
        <v>174</v>
      </c>
      <c r="I35" s="31">
        <v>25</v>
      </c>
      <c r="J35" s="31">
        <v>7</v>
      </c>
      <c r="K35" s="31">
        <v>36</v>
      </c>
      <c r="L35" s="31">
        <v>217</v>
      </c>
      <c r="M35" s="31">
        <v>398</v>
      </c>
      <c r="N35" s="31">
        <v>538</v>
      </c>
      <c r="O35" s="31">
        <v>681</v>
      </c>
      <c r="P35" s="31">
        <f t="shared" si="12"/>
        <v>4555</v>
      </c>
      <c r="Q35" s="83"/>
      <c r="R35" s="84">
        <f>'2009'!R16</f>
        <v>3385.0866666666666</v>
      </c>
      <c r="S35" s="11">
        <f>'2009'!R12</f>
        <v>2280.1666666666665</v>
      </c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4">
        <v>2009</v>
      </c>
      <c r="B36" s="25" t="s">
        <v>42</v>
      </c>
      <c r="C36" s="30" t="s">
        <v>30</v>
      </c>
      <c r="D36" s="31">
        <f t="shared" ref="D36:I36" si="14">D33-D29*($N$3)</f>
        <v>1110.2608695652175</v>
      </c>
      <c r="E36" s="31">
        <f t="shared" si="14"/>
        <v>1047.913043478261</v>
      </c>
      <c r="F36" s="31">
        <f t="shared" si="14"/>
        <v>906.26086956521749</v>
      </c>
      <c r="G36" s="31">
        <f t="shared" si="14"/>
        <v>719.47826086956525</v>
      </c>
      <c r="H36" s="31">
        <f t="shared" si="14"/>
        <v>285.26086956521749</v>
      </c>
      <c r="I36" s="31">
        <f t="shared" si="14"/>
        <v>145.47826086956525</v>
      </c>
      <c r="J36" s="31">
        <v>0</v>
      </c>
      <c r="K36" s="31">
        <f t="shared" ref="K36:O36" si="15">K33-K29*($N$3)</f>
        <v>-42.73913043478251</v>
      </c>
      <c r="L36" s="31">
        <f t="shared" si="15"/>
        <v>131.47826086956525</v>
      </c>
      <c r="M36" s="31">
        <f t="shared" si="15"/>
        <v>698.26086956521749</v>
      </c>
      <c r="N36" s="31">
        <f t="shared" si="15"/>
        <v>799.47826086956525</v>
      </c>
      <c r="O36" s="31">
        <f t="shared" si="15"/>
        <v>1168.2608695652175</v>
      </c>
      <c r="P36" s="31">
        <f t="shared" si="12"/>
        <v>6969.391304347826</v>
      </c>
      <c r="Q36" s="2"/>
      <c r="R36" s="11">
        <f>AVERAGE(P36,P25,P14)</f>
        <v>7058.9927536231889</v>
      </c>
      <c r="S36" s="11">
        <f>R35-S35</f>
        <v>1104.92</v>
      </c>
      <c r="T36" s="11">
        <f>R36-S36</f>
        <v>5954.0727536231889</v>
      </c>
      <c r="U36" s="29">
        <f>T36/S35</f>
        <v>2.6112445378071145</v>
      </c>
      <c r="V36" s="2"/>
      <c r="W36" s="2"/>
      <c r="X36" s="2"/>
      <c r="Y36" s="2"/>
      <c r="Z36" s="2"/>
    </row>
    <row r="37" spans="1:26" ht="12.75" customHeight="1" x14ac:dyDescent="0.25">
      <c r="A37" s="24">
        <v>2009</v>
      </c>
      <c r="B37" s="25" t="s">
        <v>43</v>
      </c>
      <c r="C37" s="30" t="s">
        <v>30</v>
      </c>
      <c r="D37" s="31">
        <f t="shared" ref="D37:H37" si="16">IF(D36&lt;0,0,((D35/D34))*D36)</f>
        <v>1211.3418885271021</v>
      </c>
      <c r="E37" s="31">
        <f t="shared" si="16"/>
        <v>1141.8297785069731</v>
      </c>
      <c r="F37" s="31">
        <f t="shared" si="16"/>
        <v>934.86378737541531</v>
      </c>
      <c r="G37" s="31">
        <f t="shared" si="16"/>
        <v>820.59412455934194</v>
      </c>
      <c r="H37" s="42">
        <f t="shared" si="16"/>
        <v>459.5869565217393</v>
      </c>
      <c r="I37" s="42">
        <f t="shared" ref="I37:K37" si="17">I36</f>
        <v>145.47826086956525</v>
      </c>
      <c r="J37" s="42">
        <f t="shared" si="17"/>
        <v>0</v>
      </c>
      <c r="K37" s="42">
        <f t="shared" si="17"/>
        <v>-42.73913043478251</v>
      </c>
      <c r="L37" s="42">
        <f t="shared" ref="L37:O37" si="18">IF(L36&lt;0,0,((L35/L34))*L36)</f>
        <v>269.15832649712888</v>
      </c>
      <c r="M37" s="31">
        <f t="shared" si="18"/>
        <v>614.8403232012314</v>
      </c>
      <c r="N37" s="31">
        <f t="shared" si="18"/>
        <v>933.01367537489386</v>
      </c>
      <c r="O37" s="31">
        <f t="shared" si="18"/>
        <v>1083.904158275086</v>
      </c>
      <c r="P37" s="40">
        <f t="shared" si="12"/>
        <v>7571.872149273694</v>
      </c>
      <c r="Q37" s="2"/>
      <c r="R37" s="11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12" t="s">
        <v>12</v>
      </c>
      <c r="B39" s="13"/>
      <c r="C39" s="14"/>
      <c r="D39" s="15" t="s">
        <v>13</v>
      </c>
      <c r="E39" s="15" t="s">
        <v>14</v>
      </c>
      <c r="F39" s="15" t="s">
        <v>15</v>
      </c>
      <c r="G39" s="15" t="s">
        <v>16</v>
      </c>
      <c r="H39" s="15" t="s">
        <v>17</v>
      </c>
      <c r="I39" s="15" t="s">
        <v>18</v>
      </c>
      <c r="J39" s="15" t="s">
        <v>19</v>
      </c>
      <c r="K39" s="15" t="s">
        <v>20</v>
      </c>
      <c r="L39" s="15" t="s">
        <v>21</v>
      </c>
      <c r="M39" s="15" t="s">
        <v>22</v>
      </c>
      <c r="N39" s="15" t="s">
        <v>23</v>
      </c>
      <c r="O39" s="15" t="s">
        <v>24</v>
      </c>
      <c r="P39" s="15" t="s">
        <v>25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hidden="1" customHeight="1" x14ac:dyDescent="0.25">
      <c r="A40" s="12"/>
      <c r="B40" s="13"/>
      <c r="C40" s="14"/>
      <c r="D40" s="77">
        <v>31</v>
      </c>
      <c r="E40" s="77">
        <v>28</v>
      </c>
      <c r="F40" s="77">
        <v>31</v>
      </c>
      <c r="G40" s="77">
        <v>30</v>
      </c>
      <c r="H40" s="77">
        <v>31</v>
      </c>
      <c r="I40" s="77">
        <v>30</v>
      </c>
      <c r="J40" s="77">
        <v>31</v>
      </c>
      <c r="K40" s="77">
        <v>31</v>
      </c>
      <c r="L40" s="77">
        <v>30</v>
      </c>
      <c r="M40" s="77">
        <v>31</v>
      </c>
      <c r="N40" s="77">
        <v>30</v>
      </c>
      <c r="O40" s="77">
        <v>31</v>
      </c>
      <c r="P40" s="15">
        <f>SUM(D40:O40)</f>
        <v>365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4">
        <v>2010</v>
      </c>
      <c r="B41" s="25" t="s">
        <v>27</v>
      </c>
      <c r="C41" s="26" t="s">
        <v>411</v>
      </c>
      <c r="D41" s="27">
        <v>-14.1</v>
      </c>
      <c r="E41" s="27">
        <v>-10.3</v>
      </c>
      <c r="F41" s="27">
        <v>-3.5</v>
      </c>
      <c r="G41" s="27">
        <v>3.8</v>
      </c>
      <c r="H41" s="27">
        <v>11</v>
      </c>
      <c r="I41" s="27">
        <v>14.2</v>
      </c>
      <c r="J41" s="27">
        <v>21.7</v>
      </c>
      <c r="K41" s="27">
        <v>16.5</v>
      </c>
      <c r="L41" s="27">
        <v>10.199999999999999</v>
      </c>
      <c r="M41" s="27">
        <v>3.4</v>
      </c>
      <c r="N41" s="27">
        <v>-3.1</v>
      </c>
      <c r="O41" s="27">
        <v>-11.7</v>
      </c>
      <c r="P41" s="27">
        <f>AVERAGE(D41:O41)</f>
        <v>3.1749999999999994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4">
        <v>2010</v>
      </c>
      <c r="B42" s="25" t="s">
        <v>29</v>
      </c>
      <c r="C42" s="30" t="s">
        <v>30</v>
      </c>
      <c r="D42" s="31">
        <v>1225</v>
      </c>
      <c r="E42" s="31">
        <v>963</v>
      </c>
      <c r="F42" s="31">
        <v>865</v>
      </c>
      <c r="G42" s="31">
        <v>630</v>
      </c>
      <c r="H42" s="31">
        <v>410</v>
      </c>
      <c r="I42" s="31">
        <v>270</v>
      </c>
      <c r="J42" s="31">
        <v>197</v>
      </c>
      <c r="K42" s="31">
        <v>280</v>
      </c>
      <c r="L42" s="31">
        <v>401</v>
      </c>
      <c r="M42" s="31">
        <v>640</v>
      </c>
      <c r="N42" s="31">
        <v>869</v>
      </c>
      <c r="O42" s="31">
        <v>1219</v>
      </c>
      <c r="P42" s="31">
        <f t="shared" ref="P42:P48" si="19">SUM(D42:O42)</f>
        <v>7969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4">
        <v>2010</v>
      </c>
      <c r="B43" s="25" t="s">
        <v>31</v>
      </c>
      <c r="C43" s="30" t="s">
        <v>30</v>
      </c>
      <c r="D43" s="31">
        <v>867</v>
      </c>
      <c r="E43" s="31">
        <v>792</v>
      </c>
      <c r="F43" s="31">
        <v>732</v>
      </c>
      <c r="G43" s="31">
        <v>648</v>
      </c>
      <c r="H43" s="31">
        <v>465</v>
      </c>
      <c r="I43" s="31">
        <v>322</v>
      </c>
      <c r="J43" s="31">
        <v>221</v>
      </c>
      <c r="K43" s="31">
        <v>292</v>
      </c>
      <c r="L43" s="31">
        <v>437</v>
      </c>
      <c r="M43" s="31">
        <v>631</v>
      </c>
      <c r="N43" s="31">
        <v>696</v>
      </c>
      <c r="O43" s="31">
        <v>888</v>
      </c>
      <c r="P43" s="31">
        <f t="shared" si="19"/>
        <v>6991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4">
        <v>2010</v>
      </c>
      <c r="B44" s="25" t="s">
        <v>32</v>
      </c>
      <c r="C44" s="30" t="s">
        <v>30</v>
      </c>
      <c r="D44" s="31">
        <f t="shared" ref="D44:O44" si="20">SUM(D42:D43)</f>
        <v>2092</v>
      </c>
      <c r="E44" s="31">
        <f t="shared" si="20"/>
        <v>1755</v>
      </c>
      <c r="F44" s="31">
        <f t="shared" si="20"/>
        <v>1597</v>
      </c>
      <c r="G44" s="31">
        <f t="shared" si="20"/>
        <v>1278</v>
      </c>
      <c r="H44" s="31">
        <f t="shared" si="20"/>
        <v>875</v>
      </c>
      <c r="I44" s="31">
        <f t="shared" si="20"/>
        <v>592</v>
      </c>
      <c r="J44" s="31">
        <f t="shared" si="20"/>
        <v>418</v>
      </c>
      <c r="K44" s="31">
        <f t="shared" si="20"/>
        <v>572</v>
      </c>
      <c r="L44" s="31">
        <f t="shared" si="20"/>
        <v>838</v>
      </c>
      <c r="M44" s="31">
        <f t="shared" si="20"/>
        <v>1271</v>
      </c>
      <c r="N44" s="31">
        <f t="shared" si="20"/>
        <v>1565</v>
      </c>
      <c r="O44" s="31">
        <f t="shared" si="20"/>
        <v>2107</v>
      </c>
      <c r="P44" s="40">
        <f t="shared" si="19"/>
        <v>14960</v>
      </c>
      <c r="Q44" s="2"/>
      <c r="R44" s="11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4">
        <v>2010</v>
      </c>
      <c r="B45" s="41" t="s">
        <v>36</v>
      </c>
      <c r="C45" s="26" t="s">
        <v>412</v>
      </c>
      <c r="D45" s="31">
        <v>942</v>
      </c>
      <c r="E45" s="31">
        <v>743</v>
      </c>
      <c r="F45" s="31">
        <v>616</v>
      </c>
      <c r="G45" s="31">
        <v>380</v>
      </c>
      <c r="H45" s="31">
        <v>139</v>
      </c>
      <c r="I45" s="31">
        <v>0</v>
      </c>
      <c r="J45" s="31">
        <v>0</v>
      </c>
      <c r="K45" s="31">
        <v>39</v>
      </c>
      <c r="L45" s="31">
        <v>153</v>
      </c>
      <c r="M45" s="31">
        <v>410</v>
      </c>
      <c r="N45" s="42">
        <v>580</v>
      </c>
      <c r="O45" s="42">
        <v>838</v>
      </c>
      <c r="P45" s="31">
        <f t="shared" si="19"/>
        <v>4840</v>
      </c>
      <c r="Q45" s="83"/>
      <c r="R45" s="84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4">
        <v>2010</v>
      </c>
      <c r="B46" s="41" t="s">
        <v>39</v>
      </c>
      <c r="C46" s="26" t="s">
        <v>413</v>
      </c>
      <c r="D46" s="31">
        <v>743</v>
      </c>
      <c r="E46" s="31">
        <v>693</v>
      </c>
      <c r="F46" s="31">
        <v>621</v>
      </c>
      <c r="G46" s="31">
        <v>422</v>
      </c>
      <c r="H46" s="31">
        <v>174</v>
      </c>
      <c r="I46" s="31">
        <v>25</v>
      </c>
      <c r="J46" s="31">
        <v>7</v>
      </c>
      <c r="K46" s="31">
        <v>36</v>
      </c>
      <c r="L46" s="31">
        <v>217</v>
      </c>
      <c r="M46" s="31">
        <v>398</v>
      </c>
      <c r="N46" s="31">
        <v>538</v>
      </c>
      <c r="O46" s="31">
        <v>681</v>
      </c>
      <c r="P46" s="31">
        <f t="shared" si="19"/>
        <v>4555</v>
      </c>
      <c r="Q46" s="83"/>
      <c r="R46" s="84"/>
      <c r="S46" s="11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4">
        <v>2010</v>
      </c>
      <c r="B47" s="25" t="s">
        <v>42</v>
      </c>
      <c r="C47" s="30" t="s">
        <v>30</v>
      </c>
      <c r="D47" s="31">
        <f t="shared" ref="D47:O47" si="21">D44-D40*($N$4)</f>
        <v>1558.9347826086955</v>
      </c>
      <c r="E47" s="31">
        <f t="shared" si="21"/>
        <v>1273.5217391304348</v>
      </c>
      <c r="F47" s="31">
        <f t="shared" si="21"/>
        <v>1063.9347826086955</v>
      </c>
      <c r="G47" s="31">
        <f t="shared" si="21"/>
        <v>762.13043478260875</v>
      </c>
      <c r="H47" s="31">
        <f t="shared" si="21"/>
        <v>341.93478260869563</v>
      </c>
      <c r="I47" s="31">
        <f t="shared" si="21"/>
        <v>76.130434782608745</v>
      </c>
      <c r="J47" s="31">
        <f t="shared" si="21"/>
        <v>-115.06521739130437</v>
      </c>
      <c r="K47" s="31">
        <f t="shared" si="21"/>
        <v>38.934782608695627</v>
      </c>
      <c r="L47" s="31">
        <f t="shared" si="21"/>
        <v>322.13043478260875</v>
      </c>
      <c r="M47" s="31">
        <f t="shared" si="21"/>
        <v>737.93478260869563</v>
      </c>
      <c r="N47" s="31">
        <f t="shared" si="21"/>
        <v>1049.1304347826087</v>
      </c>
      <c r="O47" s="31">
        <f t="shared" si="21"/>
        <v>1573.9347826086955</v>
      </c>
      <c r="P47" s="31">
        <f t="shared" si="19"/>
        <v>8683.5869565217399</v>
      </c>
      <c r="Q47" s="2"/>
      <c r="R47" s="11"/>
      <c r="S47" s="11"/>
      <c r="T47" s="11"/>
      <c r="U47" s="29"/>
      <c r="V47" s="2"/>
      <c r="W47" s="2"/>
      <c r="X47" s="2"/>
      <c r="Y47" s="2"/>
      <c r="Z47" s="2"/>
    </row>
    <row r="48" spans="1:26" ht="12.75" customHeight="1" x14ac:dyDescent="0.25">
      <c r="A48" s="24">
        <v>2010</v>
      </c>
      <c r="B48" s="25" t="s">
        <v>43</v>
      </c>
      <c r="C48" s="30" t="s">
        <v>30</v>
      </c>
      <c r="D48" s="31">
        <f t="shared" ref="D48:H48" si="22">IF(D47&lt;0,0,((D46/D45))*D47)</f>
        <v>1229.6056724822301</v>
      </c>
      <c r="E48" s="31">
        <f t="shared" si="22"/>
        <v>1187.8204107905669</v>
      </c>
      <c r="F48" s="31">
        <f t="shared" si="22"/>
        <v>1072.5706168831168</v>
      </c>
      <c r="G48" s="31">
        <f t="shared" si="22"/>
        <v>846.36590389016021</v>
      </c>
      <c r="H48" s="42">
        <f t="shared" si="22"/>
        <v>428.03346887707221</v>
      </c>
      <c r="I48" s="42">
        <f t="shared" ref="I48:K48" si="23">I47</f>
        <v>76.130434782608745</v>
      </c>
      <c r="J48" s="42">
        <f t="shared" si="23"/>
        <v>-115.06521739130437</v>
      </c>
      <c r="K48" s="42">
        <f t="shared" si="23"/>
        <v>38.934782608695627</v>
      </c>
      <c r="L48" s="42">
        <f t="shared" ref="L48:O48" si="24">IF(L47&lt;0,0,((L46/L45))*L47)</f>
        <v>456.87780619494185</v>
      </c>
      <c r="M48" s="31">
        <f t="shared" si="24"/>
        <v>716.33669141039229</v>
      </c>
      <c r="N48" s="31">
        <f t="shared" si="24"/>
        <v>973.15892053973016</v>
      </c>
      <c r="O48" s="31">
        <f t="shared" si="24"/>
        <v>1279.056786344298</v>
      </c>
      <c r="P48" s="40">
        <f t="shared" si="19"/>
        <v>8189.8262774125087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12" t="s">
        <v>12</v>
      </c>
      <c r="B50" s="13"/>
      <c r="C50" s="14"/>
      <c r="D50" s="15" t="s">
        <v>13</v>
      </c>
      <c r="E50" s="15" t="s">
        <v>14</v>
      </c>
      <c r="F50" s="15" t="s">
        <v>15</v>
      </c>
      <c r="G50" s="15" t="s">
        <v>16</v>
      </c>
      <c r="H50" s="15" t="s">
        <v>17</v>
      </c>
      <c r="I50" s="15" t="s">
        <v>18</v>
      </c>
      <c r="J50" s="16" t="s">
        <v>19</v>
      </c>
      <c r="K50" s="15" t="s">
        <v>20</v>
      </c>
      <c r="L50" s="15" t="s">
        <v>21</v>
      </c>
      <c r="M50" s="15" t="s">
        <v>22</v>
      </c>
      <c r="N50" s="15" t="s">
        <v>23</v>
      </c>
      <c r="O50" s="15" t="s">
        <v>24</v>
      </c>
      <c r="P50" s="15" t="s">
        <v>25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hidden="1" customHeight="1" x14ac:dyDescent="0.25">
      <c r="A51" s="12"/>
      <c r="B51" s="13"/>
      <c r="C51" s="14"/>
      <c r="D51" s="77">
        <v>31</v>
      </c>
      <c r="E51" s="77">
        <v>28</v>
      </c>
      <c r="F51" s="77">
        <v>31</v>
      </c>
      <c r="G51" s="77">
        <v>30</v>
      </c>
      <c r="H51" s="77">
        <v>31</v>
      </c>
      <c r="I51" s="77">
        <v>30</v>
      </c>
      <c r="J51" s="78">
        <v>31</v>
      </c>
      <c r="K51" s="77">
        <v>31</v>
      </c>
      <c r="L51" s="77">
        <v>30</v>
      </c>
      <c r="M51" s="77">
        <v>31</v>
      </c>
      <c r="N51" s="77">
        <v>30</v>
      </c>
      <c r="O51" s="77">
        <v>31</v>
      </c>
      <c r="P51" s="15">
        <f>SUM(D51:O51)</f>
        <v>365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4">
        <v>2011</v>
      </c>
      <c r="B52" s="25" t="s">
        <v>27</v>
      </c>
      <c r="C52" s="26" t="s">
        <v>414</v>
      </c>
      <c r="D52" s="27">
        <v>-6.8</v>
      </c>
      <c r="E52" s="27">
        <v>-12.7</v>
      </c>
      <c r="F52" s="27">
        <v>-2.5</v>
      </c>
      <c r="G52" s="27">
        <v>5.2</v>
      </c>
      <c r="H52" s="27">
        <v>10.1</v>
      </c>
      <c r="I52" s="27">
        <v>16.600000000000001</v>
      </c>
      <c r="J52" s="27">
        <v>20</v>
      </c>
      <c r="K52" s="27">
        <v>15.6</v>
      </c>
      <c r="L52" s="27">
        <v>11.5</v>
      </c>
      <c r="M52" s="27">
        <v>6.2</v>
      </c>
      <c r="N52" s="27">
        <v>2.8</v>
      </c>
      <c r="O52" s="27">
        <v>0.4</v>
      </c>
      <c r="P52" s="27">
        <f>AVERAGE(D52:O52)</f>
        <v>5.5333333333333341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4">
        <v>2011</v>
      </c>
      <c r="B53" s="25" t="s">
        <v>29</v>
      </c>
      <c r="C53" s="30" t="s">
        <v>30</v>
      </c>
      <c r="D53" s="31">
        <v>966</v>
      </c>
      <c r="E53" s="31">
        <v>996</v>
      </c>
      <c r="F53" s="31">
        <v>892</v>
      </c>
      <c r="G53" s="31">
        <v>610</v>
      </c>
      <c r="H53" s="31">
        <v>449</v>
      </c>
      <c r="I53" s="31">
        <v>242</v>
      </c>
      <c r="J53" s="42">
        <v>223</v>
      </c>
      <c r="K53" s="31">
        <v>250</v>
      </c>
      <c r="L53" s="31">
        <v>365</v>
      </c>
      <c r="M53" s="31">
        <v>606</v>
      </c>
      <c r="N53" s="31">
        <v>703</v>
      </c>
      <c r="O53" s="31">
        <v>860</v>
      </c>
      <c r="P53" s="31">
        <f t="shared" ref="P53:P59" si="25">SUM(D53:O53)</f>
        <v>7162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4">
        <v>2011</v>
      </c>
      <c r="B54" s="25" t="s">
        <v>31</v>
      </c>
      <c r="C54" s="30" t="s">
        <v>30</v>
      </c>
      <c r="D54" s="31">
        <v>767</v>
      </c>
      <c r="E54" s="31">
        <v>761</v>
      </c>
      <c r="F54" s="31">
        <v>746</v>
      </c>
      <c r="G54" s="31">
        <v>570</v>
      </c>
      <c r="H54" s="31">
        <v>472</v>
      </c>
      <c r="I54" s="31">
        <v>276</v>
      </c>
      <c r="J54" s="42">
        <v>248</v>
      </c>
      <c r="K54" s="31">
        <v>289</v>
      </c>
      <c r="L54" s="31">
        <v>376</v>
      </c>
      <c r="M54" s="31">
        <v>529</v>
      </c>
      <c r="N54" s="31">
        <v>583</v>
      </c>
      <c r="O54" s="31">
        <v>694</v>
      </c>
      <c r="P54" s="31">
        <f t="shared" si="25"/>
        <v>6311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4">
        <v>2011</v>
      </c>
      <c r="B55" s="25" t="s">
        <v>32</v>
      </c>
      <c r="C55" s="30" t="s">
        <v>30</v>
      </c>
      <c r="D55" s="31">
        <f t="shared" ref="D55:O55" si="26">SUM(D53:D54)</f>
        <v>1733</v>
      </c>
      <c r="E55" s="31">
        <f t="shared" si="26"/>
        <v>1757</v>
      </c>
      <c r="F55" s="31">
        <f t="shared" si="26"/>
        <v>1638</v>
      </c>
      <c r="G55" s="31">
        <f t="shared" si="26"/>
        <v>1180</v>
      </c>
      <c r="H55" s="31">
        <f t="shared" si="26"/>
        <v>921</v>
      </c>
      <c r="I55" s="31">
        <f t="shared" si="26"/>
        <v>518</v>
      </c>
      <c r="J55" s="42">
        <f t="shared" si="26"/>
        <v>471</v>
      </c>
      <c r="K55" s="31">
        <f t="shared" si="26"/>
        <v>539</v>
      </c>
      <c r="L55" s="31">
        <f t="shared" si="26"/>
        <v>741</v>
      </c>
      <c r="M55" s="31">
        <f t="shared" si="26"/>
        <v>1135</v>
      </c>
      <c r="N55" s="31">
        <f t="shared" si="26"/>
        <v>1286</v>
      </c>
      <c r="O55" s="31">
        <f t="shared" si="26"/>
        <v>1554</v>
      </c>
      <c r="P55" s="40">
        <f t="shared" si="25"/>
        <v>13473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4">
        <v>2011</v>
      </c>
      <c r="B56" s="41" t="s">
        <v>36</v>
      </c>
      <c r="C56" s="26" t="s">
        <v>415</v>
      </c>
      <c r="D56" s="31">
        <v>720</v>
      </c>
      <c r="E56" s="31">
        <v>798</v>
      </c>
      <c r="F56" s="31">
        <v>590</v>
      </c>
      <c r="G56" s="31">
        <v>340</v>
      </c>
      <c r="H56" s="31">
        <v>109</v>
      </c>
      <c r="I56" s="31">
        <v>0</v>
      </c>
      <c r="J56" s="31">
        <v>0</v>
      </c>
      <c r="K56" s="31">
        <v>0</v>
      </c>
      <c r="L56" s="31">
        <v>105</v>
      </c>
      <c r="M56" s="31">
        <v>330</v>
      </c>
      <c r="N56" s="42">
        <v>401</v>
      </c>
      <c r="O56" s="42">
        <v>491</v>
      </c>
      <c r="P56" s="31">
        <f t="shared" si="25"/>
        <v>3884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4">
        <v>2011</v>
      </c>
      <c r="B57" s="41" t="s">
        <v>39</v>
      </c>
      <c r="C57" s="26" t="s">
        <v>416</v>
      </c>
      <c r="D57" s="31">
        <v>743</v>
      </c>
      <c r="E57" s="31">
        <v>693</v>
      </c>
      <c r="F57" s="31">
        <v>621</v>
      </c>
      <c r="G57" s="31">
        <v>422</v>
      </c>
      <c r="H57" s="31">
        <v>174</v>
      </c>
      <c r="I57" s="31">
        <v>25</v>
      </c>
      <c r="J57" s="31">
        <v>7</v>
      </c>
      <c r="K57" s="31">
        <v>36</v>
      </c>
      <c r="L57" s="31">
        <v>217</v>
      </c>
      <c r="M57" s="31">
        <v>398</v>
      </c>
      <c r="N57" s="31">
        <v>538</v>
      </c>
      <c r="O57" s="31">
        <v>681</v>
      </c>
      <c r="P57" s="31">
        <f t="shared" si="25"/>
        <v>4555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4">
        <v>2011</v>
      </c>
      <c r="B58" s="25" t="s">
        <v>42</v>
      </c>
      <c r="C58" s="30" t="s">
        <v>30</v>
      </c>
      <c r="D58" s="31">
        <f t="shared" ref="D58:O58" si="27">D55-D51*($Q$3)</f>
        <v>1159.5</v>
      </c>
      <c r="E58" s="31">
        <f t="shared" si="27"/>
        <v>1239</v>
      </c>
      <c r="F58" s="31">
        <f t="shared" si="27"/>
        <v>1064.5</v>
      </c>
      <c r="G58" s="31">
        <f t="shared" si="27"/>
        <v>625</v>
      </c>
      <c r="H58" s="31">
        <f t="shared" si="27"/>
        <v>347.5</v>
      </c>
      <c r="I58" s="31">
        <f t="shared" si="27"/>
        <v>-37</v>
      </c>
      <c r="J58" s="31">
        <f t="shared" si="27"/>
        <v>-102.5</v>
      </c>
      <c r="K58" s="31">
        <f t="shared" si="27"/>
        <v>-34.5</v>
      </c>
      <c r="L58" s="31">
        <f t="shared" si="27"/>
        <v>186</v>
      </c>
      <c r="M58" s="31">
        <f t="shared" si="27"/>
        <v>561.5</v>
      </c>
      <c r="N58" s="31">
        <f t="shared" si="27"/>
        <v>731</v>
      </c>
      <c r="O58" s="31">
        <f t="shared" si="27"/>
        <v>980.5</v>
      </c>
      <c r="P58" s="31">
        <f t="shared" si="25"/>
        <v>6720.5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4">
        <v>2011</v>
      </c>
      <c r="B59" s="25" t="s">
        <v>43</v>
      </c>
      <c r="C59" s="30" t="s">
        <v>30</v>
      </c>
      <c r="D59" s="31">
        <f t="shared" ref="D59:H59" si="28">IF(D58&lt;0,0,((D57/D56))*D58)</f>
        <v>1196.5395833333334</v>
      </c>
      <c r="E59" s="31">
        <f t="shared" si="28"/>
        <v>1075.9736842105265</v>
      </c>
      <c r="F59" s="31">
        <f t="shared" si="28"/>
        <v>1120.4313559322034</v>
      </c>
      <c r="G59" s="31">
        <f t="shared" si="28"/>
        <v>775.73529411764707</v>
      </c>
      <c r="H59" s="42">
        <f t="shared" si="28"/>
        <v>554.72477064220186</v>
      </c>
      <c r="I59" s="42">
        <f t="shared" ref="I59:K59" si="29">I58</f>
        <v>-37</v>
      </c>
      <c r="J59" s="42">
        <f t="shared" si="29"/>
        <v>-102.5</v>
      </c>
      <c r="K59" s="42">
        <f t="shared" si="29"/>
        <v>-34.5</v>
      </c>
      <c r="L59" s="42">
        <f t="shared" ref="L59:O59" si="30">IF(L58&lt;0,0,((L57/L56))*L58)</f>
        <v>384.40000000000003</v>
      </c>
      <c r="M59" s="31">
        <f t="shared" si="30"/>
        <v>677.20303030303035</v>
      </c>
      <c r="N59" s="31">
        <f t="shared" si="30"/>
        <v>980.74314214463834</v>
      </c>
      <c r="O59" s="31">
        <f t="shared" si="30"/>
        <v>1359.9195519348268</v>
      </c>
      <c r="P59" s="40">
        <f t="shared" si="25"/>
        <v>7951.6704126184077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89"/>
      <c r="B60" s="2"/>
      <c r="C60" s="2"/>
      <c r="D60" s="84"/>
      <c r="E60" s="84"/>
      <c r="F60" s="84"/>
      <c r="G60" s="84"/>
      <c r="H60" s="90"/>
      <c r="I60" s="90"/>
      <c r="J60" s="90"/>
      <c r="K60" s="90"/>
      <c r="L60" s="90"/>
      <c r="M60" s="84"/>
      <c r="N60" s="84"/>
      <c r="O60" s="84"/>
      <c r="P60" s="91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12" t="s">
        <v>12</v>
      </c>
      <c r="B61" s="13"/>
      <c r="C61" s="14"/>
      <c r="D61" s="15" t="s">
        <v>13</v>
      </c>
      <c r="E61" s="15" t="s">
        <v>14</v>
      </c>
      <c r="F61" s="15" t="s">
        <v>15</v>
      </c>
      <c r="G61" s="15" t="s">
        <v>16</v>
      </c>
      <c r="H61" s="15" t="s">
        <v>17</v>
      </c>
      <c r="I61" s="15" t="s">
        <v>18</v>
      </c>
      <c r="J61" s="16" t="s">
        <v>19</v>
      </c>
      <c r="K61" s="15" t="s">
        <v>20</v>
      </c>
      <c r="L61" s="15" t="s">
        <v>21</v>
      </c>
      <c r="M61" s="15" t="s">
        <v>22</v>
      </c>
      <c r="N61" s="15" t="s">
        <v>23</v>
      </c>
      <c r="O61" s="15" t="s">
        <v>24</v>
      </c>
      <c r="P61" s="15" t="s">
        <v>25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hidden="1" customHeight="1" x14ac:dyDescent="0.25">
      <c r="A62" s="12"/>
      <c r="B62" s="13"/>
      <c r="C62" s="14"/>
      <c r="D62" s="77">
        <v>31</v>
      </c>
      <c r="E62" s="77">
        <v>29</v>
      </c>
      <c r="F62" s="77">
        <v>31</v>
      </c>
      <c r="G62" s="77">
        <v>30</v>
      </c>
      <c r="H62" s="77">
        <v>31</v>
      </c>
      <c r="I62" s="77">
        <v>30</v>
      </c>
      <c r="J62" s="78">
        <v>31</v>
      </c>
      <c r="K62" s="77">
        <v>31</v>
      </c>
      <c r="L62" s="77">
        <v>30</v>
      </c>
      <c r="M62" s="77">
        <v>31</v>
      </c>
      <c r="N62" s="77">
        <v>30</v>
      </c>
      <c r="O62" s="77">
        <v>31</v>
      </c>
      <c r="P62" s="15">
        <f>SUM(D62:O62)</f>
        <v>366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4">
        <v>2012</v>
      </c>
      <c r="B63" s="25" t="s">
        <v>27</v>
      </c>
      <c r="C63" s="26" t="s">
        <v>417</v>
      </c>
      <c r="D63" s="27">
        <v>-6.1</v>
      </c>
      <c r="E63" s="27">
        <v>-8.9</v>
      </c>
      <c r="F63" s="27">
        <v>-0.4</v>
      </c>
      <c r="G63" s="27">
        <v>3</v>
      </c>
      <c r="H63" s="27">
        <v>10.9</v>
      </c>
      <c r="I63" s="27">
        <v>13</v>
      </c>
      <c r="J63" s="27">
        <v>17.399999999999999</v>
      </c>
      <c r="K63" s="27">
        <v>14.5</v>
      </c>
      <c r="L63" s="27">
        <v>10.7</v>
      </c>
      <c r="M63" s="27">
        <v>5.6</v>
      </c>
      <c r="N63" s="27">
        <v>2.2999999999999998</v>
      </c>
      <c r="O63" s="27">
        <v>-8.1</v>
      </c>
      <c r="P63" s="27">
        <f>AVERAGE(D63:O63)</f>
        <v>4.4916666666666663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4">
        <v>2012</v>
      </c>
      <c r="B64" s="25" t="s">
        <v>29</v>
      </c>
      <c r="C64" s="30" t="s">
        <v>30</v>
      </c>
      <c r="D64" s="31">
        <v>1015</v>
      </c>
      <c r="E64" s="31">
        <v>991</v>
      </c>
      <c r="F64" s="31">
        <v>907</v>
      </c>
      <c r="G64" s="31">
        <v>661</v>
      </c>
      <c r="H64" s="31">
        <v>430</v>
      </c>
      <c r="I64" s="31">
        <v>279</v>
      </c>
      <c r="J64" s="42">
        <v>246</v>
      </c>
      <c r="K64" s="42">
        <v>290</v>
      </c>
      <c r="L64" s="31">
        <v>428</v>
      </c>
      <c r="M64" s="31">
        <v>677</v>
      </c>
      <c r="N64" s="31">
        <v>766</v>
      </c>
      <c r="O64" s="31">
        <v>1123</v>
      </c>
      <c r="P64" s="31">
        <f t="shared" ref="P64:P70" si="31">SUM(D64:O64)</f>
        <v>7813</v>
      </c>
      <c r="Q64" s="2"/>
      <c r="R64" s="11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4">
        <v>2012</v>
      </c>
      <c r="B65" s="25" t="s">
        <v>31</v>
      </c>
      <c r="C65" s="30" t="s">
        <v>30</v>
      </c>
      <c r="D65" s="31">
        <v>721</v>
      </c>
      <c r="E65" s="31">
        <v>778</v>
      </c>
      <c r="F65" s="31">
        <v>695</v>
      </c>
      <c r="G65" s="31">
        <v>637</v>
      </c>
      <c r="H65" s="31">
        <v>484</v>
      </c>
      <c r="I65" s="31">
        <v>307</v>
      </c>
      <c r="J65" s="42">
        <v>286</v>
      </c>
      <c r="K65" s="42">
        <v>328</v>
      </c>
      <c r="L65" s="31">
        <v>431</v>
      </c>
      <c r="M65" s="31">
        <v>583</v>
      </c>
      <c r="N65" s="31">
        <v>617</v>
      </c>
      <c r="O65" s="31">
        <v>805</v>
      </c>
      <c r="P65" s="31">
        <f t="shared" si="31"/>
        <v>6672</v>
      </c>
      <c r="Q65" s="2"/>
      <c r="R65" s="11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4">
        <v>2012</v>
      </c>
      <c r="B66" s="25" t="s">
        <v>32</v>
      </c>
      <c r="C66" s="30" t="s">
        <v>30</v>
      </c>
      <c r="D66" s="31">
        <f t="shared" ref="D66:O66" si="32">SUM(D64:D65)</f>
        <v>1736</v>
      </c>
      <c r="E66" s="31">
        <f t="shared" si="32"/>
        <v>1769</v>
      </c>
      <c r="F66" s="31">
        <f t="shared" si="32"/>
        <v>1602</v>
      </c>
      <c r="G66" s="31">
        <f t="shared" si="32"/>
        <v>1298</v>
      </c>
      <c r="H66" s="31">
        <f t="shared" si="32"/>
        <v>914</v>
      </c>
      <c r="I66" s="31">
        <f t="shared" si="32"/>
        <v>586</v>
      </c>
      <c r="J66" s="42">
        <f t="shared" si="32"/>
        <v>532</v>
      </c>
      <c r="K66" s="31">
        <f t="shared" si="32"/>
        <v>618</v>
      </c>
      <c r="L66" s="31">
        <f t="shared" si="32"/>
        <v>859</v>
      </c>
      <c r="M66" s="31">
        <f t="shared" si="32"/>
        <v>1260</v>
      </c>
      <c r="N66" s="31">
        <f t="shared" si="32"/>
        <v>1383</v>
      </c>
      <c r="O66" s="31">
        <f t="shared" si="32"/>
        <v>1928</v>
      </c>
      <c r="P66" s="40">
        <f t="shared" si="31"/>
        <v>14485</v>
      </c>
      <c r="Q66" s="2"/>
      <c r="R66" s="11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4">
        <v>2012</v>
      </c>
      <c r="B67" s="41" t="s">
        <v>36</v>
      </c>
      <c r="C67" s="26" t="s">
        <v>418</v>
      </c>
      <c r="D67" s="31">
        <v>718</v>
      </c>
      <c r="E67" s="31">
        <f>(17--8.9)*29</f>
        <v>751.09999999999991</v>
      </c>
      <c r="F67" s="31">
        <f>(17+0.4)*31</f>
        <v>539.4</v>
      </c>
      <c r="G67" s="31">
        <f>(17-3)*30</f>
        <v>420</v>
      </c>
      <c r="H67" s="42">
        <v>135</v>
      </c>
      <c r="I67" s="31">
        <v>135</v>
      </c>
      <c r="J67" s="31">
        <v>0</v>
      </c>
      <c r="K67" s="31">
        <v>25</v>
      </c>
      <c r="L67" s="31">
        <v>155</v>
      </c>
      <c r="M67" s="31">
        <f>(17-5.6)*31</f>
        <v>353.40000000000003</v>
      </c>
      <c r="N67" s="42">
        <v>447</v>
      </c>
      <c r="O67" s="42">
        <f>(17--8)*31</f>
        <v>775</v>
      </c>
      <c r="P67" s="31">
        <f t="shared" si="31"/>
        <v>4453.8999999999996</v>
      </c>
      <c r="Q67" s="2"/>
      <c r="R67" s="11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4">
        <v>2012</v>
      </c>
      <c r="B68" s="41" t="s">
        <v>39</v>
      </c>
      <c r="C68" s="26" t="s">
        <v>419</v>
      </c>
      <c r="D68" s="31">
        <v>743</v>
      </c>
      <c r="E68" s="31">
        <v>693</v>
      </c>
      <c r="F68" s="31">
        <v>621</v>
      </c>
      <c r="G68" s="31">
        <v>422</v>
      </c>
      <c r="H68" s="31">
        <v>174</v>
      </c>
      <c r="I68" s="31">
        <v>25</v>
      </c>
      <c r="J68" s="31">
        <v>7</v>
      </c>
      <c r="K68" s="31">
        <v>36</v>
      </c>
      <c r="L68" s="31">
        <v>217</v>
      </c>
      <c r="M68" s="31">
        <v>398</v>
      </c>
      <c r="N68" s="31">
        <v>538</v>
      </c>
      <c r="O68" s="31">
        <v>681</v>
      </c>
      <c r="P68" s="31">
        <f t="shared" si="31"/>
        <v>4555</v>
      </c>
      <c r="Q68" s="2"/>
      <c r="R68" s="11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4">
        <v>2012</v>
      </c>
      <c r="B69" s="25" t="s">
        <v>42</v>
      </c>
      <c r="C69" s="30" t="s">
        <v>30</v>
      </c>
      <c r="D69" s="31">
        <f t="shared" ref="D69:I69" si="33">D66-D62*($Q$3)</f>
        <v>1162.5</v>
      </c>
      <c r="E69" s="31">
        <f t="shared" si="33"/>
        <v>1232.5</v>
      </c>
      <c r="F69" s="31">
        <f t="shared" si="33"/>
        <v>1028.5</v>
      </c>
      <c r="G69" s="31">
        <f t="shared" si="33"/>
        <v>743</v>
      </c>
      <c r="H69" s="31">
        <f t="shared" si="33"/>
        <v>340.5</v>
      </c>
      <c r="I69" s="31">
        <f t="shared" si="33"/>
        <v>31</v>
      </c>
      <c r="J69" s="31">
        <v>0</v>
      </c>
      <c r="K69" s="31">
        <f t="shared" ref="K69:O69" si="34">K66-K62*($Q$3)</f>
        <v>44.5</v>
      </c>
      <c r="L69" s="31">
        <f t="shared" si="34"/>
        <v>304</v>
      </c>
      <c r="M69" s="31">
        <f t="shared" si="34"/>
        <v>686.5</v>
      </c>
      <c r="N69" s="31">
        <f t="shared" si="34"/>
        <v>828</v>
      </c>
      <c r="O69" s="31">
        <f t="shared" si="34"/>
        <v>1354.5</v>
      </c>
      <c r="P69" s="31">
        <f t="shared" si="31"/>
        <v>7755.5</v>
      </c>
      <c r="Q69" s="2"/>
      <c r="R69" s="11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4">
        <v>2012</v>
      </c>
      <c r="B70" s="25" t="s">
        <v>43</v>
      </c>
      <c r="C70" s="30" t="s">
        <v>30</v>
      </c>
      <c r="D70" s="31">
        <f t="shared" ref="D70:H70" si="35">IF(D69&lt;0,0,((D68/D67))*D69)</f>
        <v>1202.9770194986072</v>
      </c>
      <c r="E70" s="31">
        <f t="shared" si="35"/>
        <v>1137.1621621621623</v>
      </c>
      <c r="F70" s="31">
        <f t="shared" si="35"/>
        <v>1184.0906562847608</v>
      </c>
      <c r="G70" s="31">
        <f t="shared" si="35"/>
        <v>746.53809523809525</v>
      </c>
      <c r="H70" s="42">
        <f t="shared" si="35"/>
        <v>438.86666666666667</v>
      </c>
      <c r="I70" s="42">
        <f t="shared" ref="I70:K70" si="36">I69</f>
        <v>31</v>
      </c>
      <c r="J70" s="42">
        <f t="shared" si="36"/>
        <v>0</v>
      </c>
      <c r="K70" s="42">
        <f t="shared" si="36"/>
        <v>44.5</v>
      </c>
      <c r="L70" s="42">
        <f t="shared" ref="L70:O70" si="37">IF(L69&lt;0,0,((L68/L67))*L69)</f>
        <v>425.59999999999997</v>
      </c>
      <c r="M70" s="31">
        <f t="shared" si="37"/>
        <v>773.13808715336722</v>
      </c>
      <c r="N70" s="31">
        <f t="shared" si="37"/>
        <v>996.56375838926169</v>
      </c>
      <c r="O70" s="31">
        <f t="shared" si="37"/>
        <v>1190.2122580645162</v>
      </c>
      <c r="P70" s="40">
        <f t="shared" si="31"/>
        <v>8170.6487034574375</v>
      </c>
      <c r="Q70" s="2"/>
      <c r="R70" s="11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12" t="s">
        <v>12</v>
      </c>
      <c r="B72" s="13"/>
      <c r="C72" s="14"/>
      <c r="D72" s="15" t="s">
        <v>13</v>
      </c>
      <c r="E72" s="15" t="s">
        <v>14</v>
      </c>
      <c r="F72" s="15" t="s">
        <v>15</v>
      </c>
      <c r="G72" s="15" t="s">
        <v>16</v>
      </c>
      <c r="H72" s="15" t="s">
        <v>17</v>
      </c>
      <c r="I72" s="15" t="s">
        <v>18</v>
      </c>
      <c r="J72" s="16" t="s">
        <v>19</v>
      </c>
      <c r="K72" s="15" t="s">
        <v>20</v>
      </c>
      <c r="L72" s="15" t="s">
        <v>21</v>
      </c>
      <c r="M72" s="15" t="s">
        <v>22</v>
      </c>
      <c r="N72" s="15" t="s">
        <v>23</v>
      </c>
      <c r="O72" s="15" t="s">
        <v>24</v>
      </c>
      <c r="P72" s="15" t="s">
        <v>25</v>
      </c>
      <c r="Q72" s="2"/>
      <c r="R72" s="9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12"/>
      <c r="B73" s="13"/>
      <c r="C73" s="14"/>
      <c r="D73" s="77">
        <v>31</v>
      </c>
      <c r="E73" s="77">
        <v>28</v>
      </c>
      <c r="F73" s="77">
        <v>31</v>
      </c>
      <c r="G73" s="77">
        <v>30</v>
      </c>
      <c r="H73" s="77">
        <v>31</v>
      </c>
      <c r="I73" s="77">
        <v>30</v>
      </c>
      <c r="J73" s="78">
        <v>31</v>
      </c>
      <c r="K73" s="77">
        <v>31</v>
      </c>
      <c r="L73" s="77">
        <v>30</v>
      </c>
      <c r="M73" s="77">
        <v>31</v>
      </c>
      <c r="N73" s="77">
        <v>30</v>
      </c>
      <c r="O73" s="77">
        <v>31</v>
      </c>
      <c r="P73" s="15">
        <f>SUM(D73:O73)</f>
        <v>365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4">
        <v>2013</v>
      </c>
      <c r="B74" s="25" t="s">
        <v>27</v>
      </c>
      <c r="C74" s="26" t="s">
        <v>420</v>
      </c>
      <c r="D74" s="27">
        <v>-6.4</v>
      </c>
      <c r="E74" s="27">
        <v>-3.3</v>
      </c>
      <c r="F74" s="27">
        <v>-7.2</v>
      </c>
      <c r="G74" s="27">
        <v>1.9</v>
      </c>
      <c r="H74" s="27">
        <v>12.7</v>
      </c>
      <c r="I74" s="27">
        <v>16</v>
      </c>
      <c r="J74" s="27">
        <v>16</v>
      </c>
      <c r="K74" s="27">
        <v>16.8</v>
      </c>
      <c r="L74" s="27">
        <v>11</v>
      </c>
      <c r="M74" s="27">
        <v>6</v>
      </c>
      <c r="N74" s="27">
        <v>3.1</v>
      </c>
      <c r="O74" s="27">
        <v>0.7</v>
      </c>
      <c r="P74" s="27">
        <f>AVERAGE(D74:O74)</f>
        <v>5.6083333333333334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4">
        <v>2013</v>
      </c>
      <c r="B75" s="25" t="s">
        <v>29</v>
      </c>
      <c r="C75" s="30" t="s">
        <v>30</v>
      </c>
      <c r="D75" s="31">
        <v>1074</v>
      </c>
      <c r="E75" s="31">
        <v>846</v>
      </c>
      <c r="F75" s="31">
        <v>977</v>
      </c>
      <c r="G75" s="31">
        <v>733</v>
      </c>
      <c r="H75" s="31">
        <v>388</v>
      </c>
      <c r="I75" s="42">
        <v>274</v>
      </c>
      <c r="J75" s="42">
        <v>251</v>
      </c>
      <c r="K75" s="31">
        <v>317</v>
      </c>
      <c r="L75" s="31">
        <v>435</v>
      </c>
      <c r="M75" s="31">
        <v>643</v>
      </c>
      <c r="N75" s="31">
        <v>777</v>
      </c>
      <c r="O75" s="31">
        <v>938</v>
      </c>
      <c r="P75" s="31">
        <f t="shared" ref="P75:P81" si="38">SUM(D75:O75)</f>
        <v>7653</v>
      </c>
      <c r="Q75" s="2"/>
      <c r="R75" s="11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4">
        <v>2013</v>
      </c>
      <c r="B76" s="25" t="s">
        <v>31</v>
      </c>
      <c r="C76" s="30" t="s">
        <v>30</v>
      </c>
      <c r="D76" s="31">
        <v>807</v>
      </c>
      <c r="E76" s="31">
        <v>665</v>
      </c>
      <c r="F76" s="31">
        <v>805</v>
      </c>
      <c r="G76" s="31">
        <v>686</v>
      </c>
      <c r="H76" s="31">
        <v>417</v>
      </c>
      <c r="I76" s="42">
        <v>314</v>
      </c>
      <c r="J76" s="42">
        <v>259</v>
      </c>
      <c r="K76" s="31">
        <v>307</v>
      </c>
      <c r="L76" s="31">
        <v>394</v>
      </c>
      <c r="M76" s="31">
        <v>544</v>
      </c>
      <c r="N76" s="31">
        <v>610</v>
      </c>
      <c r="O76" s="31">
        <v>680</v>
      </c>
      <c r="P76" s="31">
        <f t="shared" si="38"/>
        <v>6488</v>
      </c>
      <c r="Q76" s="2"/>
      <c r="R76" s="11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4">
        <v>2013</v>
      </c>
      <c r="B77" s="25" t="s">
        <v>32</v>
      </c>
      <c r="C77" s="30" t="s">
        <v>30</v>
      </c>
      <c r="D77" s="31">
        <f t="shared" ref="D77:O77" si="39">SUM(D75:D76)</f>
        <v>1881</v>
      </c>
      <c r="E77" s="31">
        <f t="shared" si="39"/>
        <v>1511</v>
      </c>
      <c r="F77" s="31">
        <f t="shared" si="39"/>
        <v>1782</v>
      </c>
      <c r="G77" s="31">
        <f t="shared" si="39"/>
        <v>1419</v>
      </c>
      <c r="H77" s="31">
        <f t="shared" si="39"/>
        <v>805</v>
      </c>
      <c r="I77" s="31">
        <f t="shared" si="39"/>
        <v>588</v>
      </c>
      <c r="J77" s="42">
        <f t="shared" si="39"/>
        <v>510</v>
      </c>
      <c r="K77" s="31">
        <f t="shared" si="39"/>
        <v>624</v>
      </c>
      <c r="L77" s="31">
        <f t="shared" si="39"/>
        <v>829</v>
      </c>
      <c r="M77" s="31">
        <f t="shared" si="39"/>
        <v>1187</v>
      </c>
      <c r="N77" s="31">
        <f t="shared" si="39"/>
        <v>1387</v>
      </c>
      <c r="O77" s="31">
        <f t="shared" si="39"/>
        <v>1618</v>
      </c>
      <c r="P77" s="40">
        <f t="shared" si="38"/>
        <v>14141</v>
      </c>
      <c r="Q77" s="2"/>
      <c r="R77" s="11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4">
        <v>2013</v>
      </c>
      <c r="B78" s="41" t="s">
        <v>36</v>
      </c>
      <c r="C78" s="26" t="s">
        <v>421</v>
      </c>
      <c r="D78" s="31">
        <v>725</v>
      </c>
      <c r="E78" s="31">
        <f>(17--3)*28</f>
        <v>560</v>
      </c>
      <c r="F78" s="31">
        <v>760</v>
      </c>
      <c r="G78" s="31">
        <f>(17-2)*30</f>
        <v>450</v>
      </c>
      <c r="H78" s="42">
        <f>(17-13)*31</f>
        <v>124</v>
      </c>
      <c r="I78" s="31">
        <v>0</v>
      </c>
      <c r="J78" s="31">
        <v>0</v>
      </c>
      <c r="K78" s="31">
        <v>0</v>
      </c>
      <c r="L78" s="31">
        <v>123</v>
      </c>
      <c r="M78" s="31">
        <f>(17-6)*31</f>
        <v>341</v>
      </c>
      <c r="N78" s="31">
        <f>(17-3)*30</f>
        <v>420</v>
      </c>
      <c r="O78" s="42">
        <f>(17-1)*31</f>
        <v>496</v>
      </c>
      <c r="P78" s="31">
        <f t="shared" si="38"/>
        <v>3999</v>
      </c>
      <c r="Q78" s="2"/>
      <c r="R78" s="11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4">
        <v>2013</v>
      </c>
      <c r="B79" s="41" t="s">
        <v>39</v>
      </c>
      <c r="C79" s="26" t="s">
        <v>422</v>
      </c>
      <c r="D79" s="31">
        <v>743</v>
      </c>
      <c r="E79" s="31">
        <v>693</v>
      </c>
      <c r="F79" s="31">
        <v>621</v>
      </c>
      <c r="G79" s="31">
        <v>422</v>
      </c>
      <c r="H79" s="31">
        <v>174</v>
      </c>
      <c r="I79" s="31">
        <v>25</v>
      </c>
      <c r="J79" s="31">
        <v>7</v>
      </c>
      <c r="K79" s="31">
        <v>36</v>
      </c>
      <c r="L79" s="31">
        <v>217</v>
      </c>
      <c r="M79" s="31">
        <v>398</v>
      </c>
      <c r="N79" s="31">
        <v>538</v>
      </c>
      <c r="O79" s="31">
        <v>681</v>
      </c>
      <c r="P79" s="31">
        <f t="shared" si="38"/>
        <v>4555</v>
      </c>
      <c r="Q79" s="83"/>
      <c r="R79" s="11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4">
        <v>2013</v>
      </c>
      <c r="B80" s="25" t="s">
        <v>42</v>
      </c>
      <c r="C80" s="30" t="s">
        <v>30</v>
      </c>
      <c r="D80" s="31">
        <f t="shared" ref="D80:O80" si="40">D77-D73*($Q$4)</f>
        <v>1462.5</v>
      </c>
      <c r="E80" s="31">
        <f t="shared" si="40"/>
        <v>1133</v>
      </c>
      <c r="F80" s="31">
        <f t="shared" si="40"/>
        <v>1363.5</v>
      </c>
      <c r="G80" s="31">
        <f t="shared" si="40"/>
        <v>1014</v>
      </c>
      <c r="H80" s="31">
        <f t="shared" si="40"/>
        <v>386.5</v>
      </c>
      <c r="I80" s="31">
        <f t="shared" si="40"/>
        <v>183</v>
      </c>
      <c r="J80" s="31">
        <f t="shared" si="40"/>
        <v>91.5</v>
      </c>
      <c r="K80" s="31">
        <f t="shared" si="40"/>
        <v>205.5</v>
      </c>
      <c r="L80" s="31">
        <f t="shared" si="40"/>
        <v>424</v>
      </c>
      <c r="M80" s="31">
        <f t="shared" si="40"/>
        <v>768.5</v>
      </c>
      <c r="N80" s="31">
        <f t="shared" si="40"/>
        <v>982</v>
      </c>
      <c r="O80" s="31">
        <f t="shared" si="40"/>
        <v>1199.5</v>
      </c>
      <c r="P80" s="31">
        <f t="shared" si="38"/>
        <v>9213.5</v>
      </c>
      <c r="Q80" s="83"/>
      <c r="R80" s="11"/>
      <c r="S80" s="11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4">
        <v>2013</v>
      </c>
      <c r="B81" s="25" t="s">
        <v>43</v>
      </c>
      <c r="C81" s="30" t="s">
        <v>30</v>
      </c>
      <c r="D81" s="31">
        <f t="shared" ref="D81:H81" si="41">IF(D80&lt;0,0,((D79/D78))*D80)</f>
        <v>1498.8103448275861</v>
      </c>
      <c r="E81" s="31">
        <f t="shared" si="41"/>
        <v>1402.0875000000001</v>
      </c>
      <c r="F81" s="31">
        <f t="shared" si="41"/>
        <v>1114.1230263157895</v>
      </c>
      <c r="G81" s="31">
        <f t="shared" si="41"/>
        <v>950.90666666666675</v>
      </c>
      <c r="H81" s="42">
        <f t="shared" si="41"/>
        <v>542.34677419354841</v>
      </c>
      <c r="I81" s="42">
        <f t="shared" ref="I81:L81" si="42">I80</f>
        <v>183</v>
      </c>
      <c r="J81" s="42">
        <f t="shared" si="42"/>
        <v>91.5</v>
      </c>
      <c r="K81" s="42">
        <f t="shared" si="42"/>
        <v>205.5</v>
      </c>
      <c r="L81" s="42">
        <f t="shared" si="42"/>
        <v>424</v>
      </c>
      <c r="M81" s="31">
        <f t="shared" ref="M81:O81" si="43">IF(M80&lt;0,0,((M79/M78))*M80)</f>
        <v>896.95894428152496</v>
      </c>
      <c r="N81" s="31">
        <f t="shared" si="43"/>
        <v>1257.895238095238</v>
      </c>
      <c r="O81" s="31">
        <f t="shared" si="43"/>
        <v>1646.8941532258066</v>
      </c>
      <c r="P81" s="40">
        <f t="shared" si="38"/>
        <v>10214.022647606162</v>
      </c>
      <c r="Q81" s="2"/>
      <c r="R81" s="11"/>
      <c r="S81" s="11"/>
      <c r="T81" s="11"/>
      <c r="U81" s="29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12" t="s">
        <v>12</v>
      </c>
      <c r="B83" s="13"/>
      <c r="C83" s="14"/>
      <c r="D83" s="15" t="s">
        <v>13</v>
      </c>
      <c r="E83" s="15" t="s">
        <v>14</v>
      </c>
      <c r="F83" s="15" t="s">
        <v>15</v>
      </c>
      <c r="G83" s="15" t="s">
        <v>16</v>
      </c>
      <c r="H83" s="15" t="s">
        <v>17</v>
      </c>
      <c r="I83" s="15" t="s">
        <v>18</v>
      </c>
      <c r="J83" s="16" t="s">
        <v>19</v>
      </c>
      <c r="K83" s="15" t="s">
        <v>20</v>
      </c>
      <c r="L83" s="15" t="s">
        <v>21</v>
      </c>
      <c r="M83" s="15" t="s">
        <v>22</v>
      </c>
      <c r="N83" s="15" t="s">
        <v>23</v>
      </c>
      <c r="O83" s="15" t="s">
        <v>24</v>
      </c>
      <c r="P83" s="15" t="s">
        <v>25</v>
      </c>
      <c r="Q83" s="2"/>
      <c r="R83" s="9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12"/>
      <c r="B84" s="13"/>
      <c r="C84" s="14"/>
      <c r="D84" s="77">
        <v>31</v>
      </c>
      <c r="E84" s="77">
        <v>28</v>
      </c>
      <c r="F84" s="77">
        <v>31</v>
      </c>
      <c r="G84" s="77">
        <v>30</v>
      </c>
      <c r="H84" s="77">
        <v>31</v>
      </c>
      <c r="I84" s="77">
        <v>30</v>
      </c>
      <c r="J84" s="78">
        <v>31</v>
      </c>
      <c r="K84" s="77">
        <v>31</v>
      </c>
      <c r="L84" s="77">
        <v>30</v>
      </c>
      <c r="M84" s="77">
        <v>31</v>
      </c>
      <c r="N84" s="77">
        <v>30</v>
      </c>
      <c r="O84" s="77">
        <v>31</v>
      </c>
      <c r="P84" s="15">
        <f>SUM(D84:O84)</f>
        <v>365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4">
        <v>2014</v>
      </c>
      <c r="B85" s="25" t="s">
        <v>27</v>
      </c>
      <c r="C85" s="26" t="s">
        <v>423</v>
      </c>
      <c r="D85" s="27">
        <v>-9.08</v>
      </c>
      <c r="E85" s="27">
        <v>-0.37</v>
      </c>
      <c r="F85" s="27">
        <v>1.07</v>
      </c>
      <c r="G85" s="27">
        <v>5.57</v>
      </c>
      <c r="H85" s="27">
        <v>11.58</v>
      </c>
      <c r="I85" s="27">
        <v>14.34</v>
      </c>
      <c r="J85" s="27">
        <v>16.8</v>
      </c>
      <c r="K85" s="27">
        <v>17.100000000000001</v>
      </c>
      <c r="L85" s="27">
        <v>11.1</v>
      </c>
      <c r="M85" s="27">
        <v>5.2</v>
      </c>
      <c r="N85" s="27">
        <v>1.9</v>
      </c>
      <c r="O85" s="27">
        <v>-2.1</v>
      </c>
      <c r="P85" s="27">
        <f>AVERAGE(D85:O85)</f>
        <v>6.0925000000000011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4">
        <v>2014</v>
      </c>
      <c r="B86" s="25" t="s">
        <v>29</v>
      </c>
      <c r="C86" s="30" t="s">
        <v>30</v>
      </c>
      <c r="D86" s="31">
        <v>1116</v>
      </c>
      <c r="E86" s="31">
        <v>880</v>
      </c>
      <c r="F86" s="31">
        <v>830</v>
      </c>
      <c r="G86" s="31">
        <v>620</v>
      </c>
      <c r="H86" s="31">
        <v>439</v>
      </c>
      <c r="I86" s="42">
        <v>348</v>
      </c>
      <c r="J86" s="42">
        <f>239/35*31</f>
        <v>211.68571428571428</v>
      </c>
      <c r="K86" s="31">
        <f>243/27*31</f>
        <v>279</v>
      </c>
      <c r="L86" s="31">
        <v>405</v>
      </c>
      <c r="M86" s="31">
        <v>676</v>
      </c>
      <c r="N86" s="31">
        <v>817</v>
      </c>
      <c r="O86" s="31">
        <v>953</v>
      </c>
      <c r="P86" s="31">
        <f t="shared" ref="P86:P92" si="44">SUM(D86:O86)</f>
        <v>7574.6857142857143</v>
      </c>
      <c r="Q86" s="2"/>
      <c r="R86" s="11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4">
        <v>2014</v>
      </c>
      <c r="B87" s="25" t="s">
        <v>31</v>
      </c>
      <c r="C87" s="30" t="s">
        <v>30</v>
      </c>
      <c r="D87" s="31">
        <v>807</v>
      </c>
      <c r="E87" s="31">
        <v>698</v>
      </c>
      <c r="F87" s="31">
        <v>698</v>
      </c>
      <c r="G87" s="31">
        <v>608</v>
      </c>
      <c r="H87" s="31">
        <v>473</v>
      </c>
      <c r="I87" s="42">
        <v>375</v>
      </c>
      <c r="J87" s="42">
        <f>279/35*31</f>
        <v>247.11428571428573</v>
      </c>
      <c r="K87" s="31">
        <f>278/27*31</f>
        <v>319.18518518518516</v>
      </c>
      <c r="L87" s="31">
        <v>394</v>
      </c>
      <c r="M87" s="31">
        <v>589</v>
      </c>
      <c r="N87" s="31">
        <v>648</v>
      </c>
      <c r="O87" s="31">
        <v>770</v>
      </c>
      <c r="P87" s="31">
        <f t="shared" si="44"/>
        <v>6626.2994708994711</v>
      </c>
      <c r="Q87" s="2"/>
      <c r="R87" s="11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4">
        <v>2014</v>
      </c>
      <c r="B88" s="25" t="s">
        <v>32</v>
      </c>
      <c r="C88" s="30" t="s">
        <v>30</v>
      </c>
      <c r="D88" s="31">
        <f t="shared" ref="D88:O88" si="45">SUM(D86:D87)</f>
        <v>1923</v>
      </c>
      <c r="E88" s="31">
        <f t="shared" si="45"/>
        <v>1578</v>
      </c>
      <c r="F88" s="31">
        <f t="shared" si="45"/>
        <v>1528</v>
      </c>
      <c r="G88" s="31">
        <f t="shared" si="45"/>
        <v>1228</v>
      </c>
      <c r="H88" s="31">
        <f t="shared" si="45"/>
        <v>912</v>
      </c>
      <c r="I88" s="31">
        <f t="shared" si="45"/>
        <v>723</v>
      </c>
      <c r="J88" s="31">
        <f t="shared" si="45"/>
        <v>458.8</v>
      </c>
      <c r="K88" s="31">
        <f t="shared" si="45"/>
        <v>598.18518518518522</v>
      </c>
      <c r="L88" s="31">
        <f t="shared" si="45"/>
        <v>799</v>
      </c>
      <c r="M88" s="31">
        <f t="shared" si="45"/>
        <v>1265</v>
      </c>
      <c r="N88" s="31">
        <f t="shared" si="45"/>
        <v>1465</v>
      </c>
      <c r="O88" s="31">
        <f t="shared" si="45"/>
        <v>1723</v>
      </c>
      <c r="P88" s="40">
        <f t="shared" si="44"/>
        <v>14200.985185185185</v>
      </c>
      <c r="Q88" s="2"/>
      <c r="R88" s="11"/>
      <c r="S88" s="2"/>
      <c r="T88" s="11"/>
      <c r="U88" s="2"/>
      <c r="V88" s="2"/>
      <c r="W88" s="2"/>
      <c r="X88" s="2"/>
      <c r="Y88" s="2"/>
      <c r="Z88" s="2"/>
    </row>
    <row r="89" spans="1:26" ht="12.75" customHeight="1" x14ac:dyDescent="0.25">
      <c r="A89" s="24">
        <v>2014</v>
      </c>
      <c r="B89" s="41" t="s">
        <v>36</v>
      </c>
      <c r="C89" s="26" t="s">
        <v>424</v>
      </c>
      <c r="D89" s="31">
        <v>788</v>
      </c>
      <c r="E89" s="31">
        <v>485</v>
      </c>
      <c r="F89" s="31">
        <v>496</v>
      </c>
      <c r="G89" s="31">
        <v>360</v>
      </c>
      <c r="H89" s="42">
        <v>190</v>
      </c>
      <c r="I89" s="31">
        <v>125</v>
      </c>
      <c r="J89" s="31">
        <v>4</v>
      </c>
      <c r="K89" s="31">
        <v>5</v>
      </c>
      <c r="L89" s="31">
        <f>(17-11)*30</f>
        <v>180</v>
      </c>
      <c r="M89" s="31">
        <f>(17-5)*31</f>
        <v>372</v>
      </c>
      <c r="N89" s="31">
        <f>(17-2)*30</f>
        <v>450</v>
      </c>
      <c r="O89" s="42">
        <f>(17--2)*31</f>
        <v>589</v>
      </c>
      <c r="P89" s="31">
        <f t="shared" si="44"/>
        <v>4044</v>
      </c>
      <c r="Q89" s="2"/>
      <c r="R89" s="11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4">
        <v>2014</v>
      </c>
      <c r="B90" s="41" t="s">
        <v>39</v>
      </c>
      <c r="C90" s="26" t="s">
        <v>425</v>
      </c>
      <c r="D90" s="31">
        <v>712</v>
      </c>
      <c r="E90" s="31">
        <v>664</v>
      </c>
      <c r="F90" s="31">
        <v>598</v>
      </c>
      <c r="G90" s="31">
        <v>387</v>
      </c>
      <c r="H90" s="31">
        <v>156</v>
      </c>
      <c r="I90" s="31">
        <v>20</v>
      </c>
      <c r="J90" s="31">
        <v>4</v>
      </c>
      <c r="K90" s="31">
        <v>30</v>
      </c>
      <c r="L90" s="31">
        <v>187</v>
      </c>
      <c r="M90" s="31">
        <v>375</v>
      </c>
      <c r="N90" s="31">
        <v>518</v>
      </c>
      <c r="O90" s="31">
        <v>655</v>
      </c>
      <c r="P90" s="31">
        <f t="shared" si="44"/>
        <v>4306</v>
      </c>
      <c r="Q90" s="83"/>
      <c r="R90" s="11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4">
        <v>2014</v>
      </c>
      <c r="B91" s="25" t="s">
        <v>42</v>
      </c>
      <c r="C91" s="30" t="s">
        <v>30</v>
      </c>
      <c r="D91" s="31">
        <f t="shared" ref="D91:O91" si="46">D88-D84*($Q$4)</f>
        <v>1504.5</v>
      </c>
      <c r="E91" s="31">
        <f t="shared" si="46"/>
        <v>1200</v>
      </c>
      <c r="F91" s="31">
        <f t="shared" si="46"/>
        <v>1109.5</v>
      </c>
      <c r="G91" s="31">
        <f t="shared" si="46"/>
        <v>823</v>
      </c>
      <c r="H91" s="31">
        <f t="shared" si="46"/>
        <v>493.5</v>
      </c>
      <c r="I91" s="31">
        <f t="shared" si="46"/>
        <v>318</v>
      </c>
      <c r="J91" s="31">
        <f t="shared" si="46"/>
        <v>40.300000000000011</v>
      </c>
      <c r="K91" s="31">
        <f t="shared" si="46"/>
        <v>179.68518518518522</v>
      </c>
      <c r="L91" s="31">
        <f t="shared" si="46"/>
        <v>394</v>
      </c>
      <c r="M91" s="31">
        <f t="shared" si="46"/>
        <v>846.5</v>
      </c>
      <c r="N91" s="31">
        <f t="shared" si="46"/>
        <v>1060</v>
      </c>
      <c r="O91" s="31">
        <f t="shared" si="46"/>
        <v>1304.5</v>
      </c>
      <c r="P91" s="31">
        <f t="shared" si="44"/>
        <v>9273.4851851851854</v>
      </c>
      <c r="Q91" s="83"/>
      <c r="R91" s="11"/>
      <c r="S91" s="11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4">
        <v>2013</v>
      </c>
      <c r="B92" s="25" t="s">
        <v>43</v>
      </c>
      <c r="C92" s="30" t="s">
        <v>30</v>
      </c>
      <c r="D92" s="31">
        <f t="shared" ref="D92:O92" si="47">IF(D91&lt;0,0,((D90/D89))*D91)</f>
        <v>1359.3959390862944</v>
      </c>
      <c r="E92" s="31">
        <f t="shared" si="47"/>
        <v>1642.8865979381444</v>
      </c>
      <c r="F92" s="31">
        <f t="shared" si="47"/>
        <v>1337.6633064516129</v>
      </c>
      <c r="G92" s="31">
        <f t="shared" si="47"/>
        <v>884.72499999999991</v>
      </c>
      <c r="H92" s="31">
        <f t="shared" si="47"/>
        <v>405.1894736842105</v>
      </c>
      <c r="I92" s="31">
        <f t="shared" si="47"/>
        <v>50.88</v>
      </c>
      <c r="J92" s="31">
        <f t="shared" si="47"/>
        <v>40.300000000000011</v>
      </c>
      <c r="K92" s="31">
        <f t="shared" si="47"/>
        <v>1078.1111111111113</v>
      </c>
      <c r="L92" s="31">
        <f t="shared" si="47"/>
        <v>409.32222222222225</v>
      </c>
      <c r="M92" s="31">
        <f t="shared" si="47"/>
        <v>853.32661290322585</v>
      </c>
      <c r="N92" s="31">
        <f t="shared" si="47"/>
        <v>1220.1777777777779</v>
      </c>
      <c r="O92" s="31">
        <f t="shared" si="47"/>
        <v>1450.6748726655348</v>
      </c>
      <c r="P92" s="40">
        <f t="shared" si="44"/>
        <v>10732.652913840135</v>
      </c>
      <c r="Q92" s="2"/>
      <c r="R92" s="11"/>
      <c r="S92" s="11"/>
      <c r="T92" s="11"/>
      <c r="U92" s="29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1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12" t="s">
        <v>12</v>
      </c>
      <c r="B94" s="13"/>
      <c r="C94" s="14"/>
      <c r="D94" s="15" t="s">
        <v>13</v>
      </c>
      <c r="E94" s="15" t="s">
        <v>14</v>
      </c>
      <c r="F94" s="15" t="s">
        <v>15</v>
      </c>
      <c r="G94" s="15" t="s">
        <v>16</v>
      </c>
      <c r="H94" s="15" t="s">
        <v>17</v>
      </c>
      <c r="I94" s="15" t="s">
        <v>18</v>
      </c>
      <c r="J94" s="16" t="s">
        <v>19</v>
      </c>
      <c r="K94" s="15" t="s">
        <v>20</v>
      </c>
      <c r="L94" s="15" t="s">
        <v>21</v>
      </c>
      <c r="M94" s="15" t="s">
        <v>22</v>
      </c>
      <c r="N94" s="15" t="s">
        <v>23</v>
      </c>
      <c r="O94" s="15" t="s">
        <v>24</v>
      </c>
      <c r="P94" s="15" t="s">
        <v>25</v>
      </c>
      <c r="Q94" s="2"/>
      <c r="R94" s="11"/>
      <c r="S94" s="2"/>
      <c r="T94" s="2"/>
      <c r="U94" s="2"/>
      <c r="V94" s="2"/>
      <c r="W94" s="2"/>
      <c r="X94" s="2"/>
      <c r="Y94" s="2"/>
      <c r="Z94" s="2"/>
    </row>
    <row r="95" spans="1:26" ht="9.75" hidden="1" customHeight="1" x14ac:dyDescent="0.25">
      <c r="A95" s="12"/>
      <c r="B95" s="13"/>
      <c r="C95" s="14"/>
      <c r="D95" s="77">
        <v>31</v>
      </c>
      <c r="E95" s="77">
        <v>28</v>
      </c>
      <c r="F95" s="77">
        <v>31</v>
      </c>
      <c r="G95" s="77">
        <v>30</v>
      </c>
      <c r="H95" s="77">
        <v>31</v>
      </c>
      <c r="I95" s="77">
        <v>30</v>
      </c>
      <c r="J95" s="78">
        <v>31</v>
      </c>
      <c r="K95" s="77">
        <v>31</v>
      </c>
      <c r="L95" s="77">
        <v>30</v>
      </c>
      <c r="M95" s="77">
        <v>31</v>
      </c>
      <c r="N95" s="77">
        <v>30</v>
      </c>
      <c r="O95" s="77">
        <v>31</v>
      </c>
      <c r="P95" s="15">
        <f>SUM(D95:O95)</f>
        <v>365</v>
      </c>
      <c r="Q95" s="2"/>
      <c r="R95" s="11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4">
        <v>2015</v>
      </c>
      <c r="B96" s="25" t="s">
        <v>27</v>
      </c>
      <c r="C96" s="26" t="s">
        <v>426</v>
      </c>
      <c r="D96" s="27">
        <v>-3.5</v>
      </c>
      <c r="E96" s="27">
        <v>-0.7</v>
      </c>
      <c r="F96" s="27">
        <v>1.0900000000000001</v>
      </c>
      <c r="G96" s="27">
        <v>5</v>
      </c>
      <c r="H96" s="27">
        <v>9.1</v>
      </c>
      <c r="I96" s="27">
        <v>14.1</v>
      </c>
      <c r="J96" s="27">
        <v>15.3</v>
      </c>
      <c r="K96" s="27">
        <v>15.66</v>
      </c>
      <c r="L96" s="27">
        <v>11.42</v>
      </c>
      <c r="M96" s="27">
        <v>3.76</v>
      </c>
      <c r="N96" s="27">
        <v>3.81</v>
      </c>
      <c r="O96" s="27">
        <v>1.6</v>
      </c>
      <c r="P96" s="27">
        <f>AVERAGE(D96:O96)</f>
        <v>6.3866666666666667</v>
      </c>
      <c r="Q96" s="2"/>
      <c r="R96" s="11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4">
        <v>2015</v>
      </c>
      <c r="B97" s="25" t="s">
        <v>29</v>
      </c>
      <c r="C97" s="30" t="s">
        <v>30</v>
      </c>
      <c r="D97" s="31">
        <v>1010</v>
      </c>
      <c r="E97" s="31">
        <v>806</v>
      </c>
      <c r="F97" s="31">
        <v>824</v>
      </c>
      <c r="G97" s="31">
        <v>649</v>
      </c>
      <c r="H97" s="31">
        <v>523</v>
      </c>
      <c r="I97" s="42">
        <v>372</v>
      </c>
      <c r="J97" s="42">
        <v>307</v>
      </c>
      <c r="K97" s="31">
        <v>232</v>
      </c>
      <c r="L97" s="31">
        <v>374</v>
      </c>
      <c r="M97" s="31">
        <v>659</v>
      </c>
      <c r="N97" s="31">
        <v>761</v>
      </c>
      <c r="O97" s="31">
        <v>872</v>
      </c>
      <c r="P97" s="31">
        <f t="shared" ref="P97:P103" si="48">SUM(D97:O97)</f>
        <v>7389</v>
      </c>
      <c r="Q97" s="2"/>
      <c r="R97" s="11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4">
        <v>2015</v>
      </c>
      <c r="B98" s="25" t="s">
        <v>31</v>
      </c>
      <c r="C98" s="30" t="s">
        <v>30</v>
      </c>
      <c r="D98" s="31">
        <v>770</v>
      </c>
      <c r="E98" s="31">
        <v>615</v>
      </c>
      <c r="F98" s="31">
        <v>657</v>
      </c>
      <c r="G98" s="31">
        <v>594</v>
      </c>
      <c r="H98" s="31">
        <v>471</v>
      </c>
      <c r="I98" s="42">
        <v>349</v>
      </c>
      <c r="J98" s="42">
        <v>285</v>
      </c>
      <c r="K98" s="31">
        <v>232</v>
      </c>
      <c r="L98" s="31">
        <v>327</v>
      </c>
      <c r="M98" s="31">
        <v>584</v>
      </c>
      <c r="N98" s="31">
        <v>562</v>
      </c>
      <c r="O98" s="31">
        <v>649</v>
      </c>
      <c r="P98" s="31">
        <f t="shared" si="48"/>
        <v>6095</v>
      </c>
      <c r="Q98" s="2"/>
      <c r="R98" s="11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4">
        <v>2015</v>
      </c>
      <c r="B99" s="25" t="s">
        <v>32</v>
      </c>
      <c r="C99" s="30" t="s">
        <v>30</v>
      </c>
      <c r="D99" s="31">
        <f t="shared" ref="D99:O99" si="49">SUM(D97:D98)</f>
        <v>1780</v>
      </c>
      <c r="E99" s="31">
        <f t="shared" si="49"/>
        <v>1421</v>
      </c>
      <c r="F99" s="31">
        <f t="shared" si="49"/>
        <v>1481</v>
      </c>
      <c r="G99" s="31">
        <f t="shared" si="49"/>
        <v>1243</v>
      </c>
      <c r="H99" s="31">
        <f t="shared" si="49"/>
        <v>994</v>
      </c>
      <c r="I99" s="31">
        <f t="shared" si="49"/>
        <v>721</v>
      </c>
      <c r="J99" s="31">
        <f t="shared" si="49"/>
        <v>592</v>
      </c>
      <c r="K99" s="31">
        <f t="shared" si="49"/>
        <v>464</v>
      </c>
      <c r="L99" s="31">
        <f t="shared" si="49"/>
        <v>701</v>
      </c>
      <c r="M99" s="31">
        <f t="shared" si="49"/>
        <v>1243</v>
      </c>
      <c r="N99" s="31">
        <f t="shared" si="49"/>
        <v>1323</v>
      </c>
      <c r="O99" s="31">
        <f t="shared" si="49"/>
        <v>1521</v>
      </c>
      <c r="P99" s="40">
        <f t="shared" si="48"/>
        <v>13484</v>
      </c>
      <c r="Q99" s="2"/>
      <c r="R99" s="11"/>
      <c r="S99" s="2"/>
      <c r="T99" s="11"/>
      <c r="U99" s="2"/>
      <c r="V99" s="2"/>
      <c r="W99" s="2"/>
      <c r="X99" s="2"/>
      <c r="Y99" s="2"/>
      <c r="Z99" s="2"/>
    </row>
    <row r="100" spans="1:26" ht="12.75" customHeight="1" x14ac:dyDescent="0.25">
      <c r="A100" s="24">
        <v>2015</v>
      </c>
      <c r="B100" s="41" t="s">
        <v>36</v>
      </c>
      <c r="C100" s="26" t="s">
        <v>427</v>
      </c>
      <c r="D100" s="31">
        <v>627</v>
      </c>
      <c r="E100" s="31">
        <f>(17--0.7)*28</f>
        <v>495.59999999999997</v>
      </c>
      <c r="F100" s="31">
        <f>(17-1)*31</f>
        <v>496</v>
      </c>
      <c r="G100" s="31">
        <f>(17-5)*30</f>
        <v>360</v>
      </c>
      <c r="H100" s="42">
        <v>184</v>
      </c>
      <c r="I100" s="31">
        <v>15</v>
      </c>
      <c r="J100" s="31">
        <v>10</v>
      </c>
      <c r="K100" s="31">
        <v>30</v>
      </c>
      <c r="L100" s="31">
        <f>(17-11.5)*30</f>
        <v>165</v>
      </c>
      <c r="M100" s="31">
        <v>404</v>
      </c>
      <c r="N100" s="31">
        <v>393</v>
      </c>
      <c r="O100" s="42">
        <v>490</v>
      </c>
      <c r="P100" s="31">
        <f t="shared" si="48"/>
        <v>3669.6</v>
      </c>
      <c r="Q100" s="2"/>
      <c r="R100" s="11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4">
        <v>2015</v>
      </c>
      <c r="B101" s="41" t="s">
        <v>39</v>
      </c>
      <c r="C101" s="26" t="s">
        <v>428</v>
      </c>
      <c r="D101" s="31">
        <v>712</v>
      </c>
      <c r="E101" s="31">
        <v>664</v>
      </c>
      <c r="F101" s="31">
        <v>598</v>
      </c>
      <c r="G101" s="31">
        <v>387</v>
      </c>
      <c r="H101" s="31">
        <v>156</v>
      </c>
      <c r="I101" s="31">
        <v>20</v>
      </c>
      <c r="J101" s="31">
        <v>4</v>
      </c>
      <c r="K101" s="31">
        <v>30</v>
      </c>
      <c r="L101" s="31">
        <v>187</v>
      </c>
      <c r="M101" s="31">
        <v>375</v>
      </c>
      <c r="N101" s="31">
        <v>518</v>
      </c>
      <c r="O101" s="31">
        <v>655</v>
      </c>
      <c r="P101" s="31">
        <f t="shared" si="48"/>
        <v>4306</v>
      </c>
      <c r="Q101" s="83"/>
      <c r="R101" s="11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4">
        <v>2015</v>
      </c>
      <c r="B102" s="25" t="s">
        <v>42</v>
      </c>
      <c r="C102" s="30" t="s">
        <v>30</v>
      </c>
      <c r="D102" s="31">
        <f t="shared" ref="D102:J102" si="50">D99-D95*($Q$4)</f>
        <v>1361.5</v>
      </c>
      <c r="E102" s="31">
        <f t="shared" si="50"/>
        <v>1043</v>
      </c>
      <c r="F102" s="31">
        <f t="shared" si="50"/>
        <v>1062.5</v>
      </c>
      <c r="G102" s="31">
        <f t="shared" si="50"/>
        <v>838</v>
      </c>
      <c r="H102" s="31">
        <f t="shared" si="50"/>
        <v>575.5</v>
      </c>
      <c r="I102" s="31">
        <f t="shared" si="50"/>
        <v>316</v>
      </c>
      <c r="J102" s="31">
        <f t="shared" si="50"/>
        <v>173.5</v>
      </c>
      <c r="K102" s="31">
        <v>0</v>
      </c>
      <c r="L102" s="31">
        <f t="shared" ref="L102:O102" si="51">L99-L95*($Q$4)</f>
        <v>296</v>
      </c>
      <c r="M102" s="31">
        <f t="shared" si="51"/>
        <v>824.5</v>
      </c>
      <c r="N102" s="31">
        <f t="shared" si="51"/>
        <v>918</v>
      </c>
      <c r="O102" s="31">
        <f t="shared" si="51"/>
        <v>1102.5</v>
      </c>
      <c r="P102" s="31">
        <f t="shared" si="48"/>
        <v>8511</v>
      </c>
      <c r="Q102" s="83"/>
      <c r="R102" s="11"/>
      <c r="S102" s="11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4">
        <v>2015</v>
      </c>
      <c r="B103" s="25" t="s">
        <v>43</v>
      </c>
      <c r="C103" s="30" t="s">
        <v>30</v>
      </c>
      <c r="D103" s="31">
        <f t="shared" ref="D103:H103" si="52">IF(D102&lt;0,0,((D101/D100))*D102)</f>
        <v>1546.0733652312601</v>
      </c>
      <c r="E103" s="31">
        <f t="shared" si="52"/>
        <v>1397.4011299435028</v>
      </c>
      <c r="F103" s="31">
        <f t="shared" si="52"/>
        <v>1280.9979838709676</v>
      </c>
      <c r="G103" s="31">
        <f t="shared" si="52"/>
        <v>900.84999999999991</v>
      </c>
      <c r="H103" s="31">
        <f t="shared" si="52"/>
        <v>487.92391304347825</v>
      </c>
      <c r="I103" s="31">
        <f t="shared" ref="I103:K103" si="53">I102</f>
        <v>316</v>
      </c>
      <c r="J103" s="31">
        <f t="shared" si="53"/>
        <v>173.5</v>
      </c>
      <c r="K103" s="31">
        <f t="shared" si="53"/>
        <v>0</v>
      </c>
      <c r="L103" s="31">
        <f t="shared" ref="L103:O103" si="54">IF(L102&lt;0,0,((L101/L100))*L102)</f>
        <v>335.46666666666664</v>
      </c>
      <c r="M103" s="31">
        <f t="shared" si="54"/>
        <v>765.31559405940595</v>
      </c>
      <c r="N103" s="31">
        <f t="shared" si="54"/>
        <v>1209.9847328244273</v>
      </c>
      <c r="O103" s="31">
        <f t="shared" si="54"/>
        <v>1473.75</v>
      </c>
      <c r="P103" s="40">
        <f t="shared" si="48"/>
        <v>9887.2633856397078</v>
      </c>
      <c r="Q103" s="2"/>
      <c r="R103" s="11"/>
      <c r="S103" s="11"/>
      <c r="T103" s="11"/>
      <c r="U103" s="29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12" t="s">
        <v>12</v>
      </c>
      <c r="B105" s="13"/>
      <c r="C105" s="14"/>
      <c r="D105" s="15" t="s">
        <v>13</v>
      </c>
      <c r="E105" s="15" t="s">
        <v>14</v>
      </c>
      <c r="F105" s="15" t="s">
        <v>15</v>
      </c>
      <c r="G105" s="15" t="s">
        <v>16</v>
      </c>
      <c r="H105" s="15" t="s">
        <v>17</v>
      </c>
      <c r="I105" s="15" t="s">
        <v>18</v>
      </c>
      <c r="J105" s="16" t="s">
        <v>19</v>
      </c>
      <c r="K105" s="15" t="s">
        <v>20</v>
      </c>
      <c r="L105" s="15" t="s">
        <v>21</v>
      </c>
      <c r="M105" s="15" t="s">
        <v>22</v>
      </c>
      <c r="N105" s="15" t="s">
        <v>23</v>
      </c>
      <c r="O105" s="15" t="s">
        <v>24</v>
      </c>
      <c r="P105" s="15" t="s">
        <v>25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9.75" hidden="1" customHeight="1" x14ac:dyDescent="0.25">
      <c r="A106" s="12"/>
      <c r="B106" s="13"/>
      <c r="C106" s="14"/>
      <c r="D106" s="77">
        <v>31</v>
      </c>
      <c r="E106" s="77">
        <v>28</v>
      </c>
      <c r="F106" s="77">
        <v>31</v>
      </c>
      <c r="G106" s="77">
        <v>30</v>
      </c>
      <c r="H106" s="77">
        <v>31</v>
      </c>
      <c r="I106" s="77">
        <v>30</v>
      </c>
      <c r="J106" s="78">
        <v>31</v>
      </c>
      <c r="K106" s="77">
        <v>31</v>
      </c>
      <c r="L106" s="77">
        <v>30</v>
      </c>
      <c r="M106" s="77">
        <v>31</v>
      </c>
      <c r="N106" s="77">
        <v>30</v>
      </c>
      <c r="O106" s="77">
        <v>31</v>
      </c>
      <c r="P106" s="15">
        <f>SUM(D106:O106)</f>
        <v>365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4">
        <v>2016</v>
      </c>
      <c r="B107" s="25" t="s">
        <v>27</v>
      </c>
      <c r="C107" s="26" t="s">
        <v>429</v>
      </c>
      <c r="D107" s="27">
        <v>-11.3</v>
      </c>
      <c r="E107" s="27">
        <v>-1</v>
      </c>
      <c r="F107" s="27">
        <v>-0.5</v>
      </c>
      <c r="G107" s="27">
        <v>4.2</v>
      </c>
      <c r="H107" s="27">
        <v>13</v>
      </c>
      <c r="I107" s="27">
        <v>14.6</v>
      </c>
      <c r="J107" s="27">
        <v>17</v>
      </c>
      <c r="K107" s="27">
        <v>14.9</v>
      </c>
      <c r="L107" s="27">
        <v>11.5</v>
      </c>
      <c r="M107" s="27">
        <v>3.8</v>
      </c>
      <c r="N107" s="27">
        <v>-1.7</v>
      </c>
      <c r="O107" s="27">
        <v>-1.77</v>
      </c>
      <c r="P107" s="27">
        <f>AVERAGE(D107:O107)</f>
        <v>5.2275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4">
        <v>2016</v>
      </c>
      <c r="B108" s="25" t="s">
        <v>29</v>
      </c>
      <c r="C108" s="30" t="s">
        <v>30</v>
      </c>
      <c r="D108" s="31">
        <v>1191</v>
      </c>
      <c r="E108" s="31">
        <v>884</v>
      </c>
      <c r="F108" s="31">
        <v>872</v>
      </c>
      <c r="G108" s="31">
        <v>702</v>
      </c>
      <c r="H108" s="31">
        <v>333</v>
      </c>
      <c r="I108" s="42">
        <v>299</v>
      </c>
      <c r="J108" s="42">
        <v>283</v>
      </c>
      <c r="K108" s="31">
        <v>313</v>
      </c>
      <c r="L108" s="31">
        <v>379</v>
      </c>
      <c r="M108" s="31">
        <v>713</v>
      </c>
      <c r="N108" s="31">
        <v>889</v>
      </c>
      <c r="O108" s="31">
        <v>883</v>
      </c>
      <c r="P108" s="31">
        <f t="shared" ref="P108:P114" si="55">SUM(D108:O108)</f>
        <v>7741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4">
        <v>2016</v>
      </c>
      <c r="B109" s="25" t="s">
        <v>31</v>
      </c>
      <c r="C109" s="30" t="s">
        <v>30</v>
      </c>
      <c r="D109" s="31">
        <v>838</v>
      </c>
      <c r="E109" s="31">
        <v>665</v>
      </c>
      <c r="F109" s="31">
        <v>715</v>
      </c>
      <c r="G109" s="31">
        <v>590</v>
      </c>
      <c r="H109" s="31">
        <v>354</v>
      </c>
      <c r="I109" s="42">
        <v>296</v>
      </c>
      <c r="J109" s="42">
        <v>290</v>
      </c>
      <c r="K109" s="31">
        <v>324</v>
      </c>
      <c r="L109" s="31">
        <v>361</v>
      </c>
      <c r="M109" s="31">
        <v>578</v>
      </c>
      <c r="N109" s="31">
        <v>672</v>
      </c>
      <c r="O109" s="31">
        <v>680</v>
      </c>
      <c r="P109" s="31">
        <f t="shared" si="55"/>
        <v>6363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4">
        <v>2016</v>
      </c>
      <c r="B110" s="25" t="s">
        <v>32</v>
      </c>
      <c r="C110" s="30" t="s">
        <v>30</v>
      </c>
      <c r="D110" s="31">
        <f t="shared" ref="D110:O110" si="56">SUM(D108:D109)</f>
        <v>2029</v>
      </c>
      <c r="E110" s="31">
        <f t="shared" si="56"/>
        <v>1549</v>
      </c>
      <c r="F110" s="31">
        <f t="shared" si="56"/>
        <v>1587</v>
      </c>
      <c r="G110" s="31">
        <f t="shared" si="56"/>
        <v>1292</v>
      </c>
      <c r="H110" s="31">
        <f t="shared" si="56"/>
        <v>687</v>
      </c>
      <c r="I110" s="31">
        <f t="shared" si="56"/>
        <v>595</v>
      </c>
      <c r="J110" s="31">
        <f t="shared" si="56"/>
        <v>573</v>
      </c>
      <c r="K110" s="31">
        <f t="shared" si="56"/>
        <v>637</v>
      </c>
      <c r="L110" s="31">
        <f t="shared" si="56"/>
        <v>740</v>
      </c>
      <c r="M110" s="31">
        <f t="shared" si="56"/>
        <v>1291</v>
      </c>
      <c r="N110" s="31">
        <f t="shared" si="56"/>
        <v>1561</v>
      </c>
      <c r="O110" s="31">
        <f t="shared" si="56"/>
        <v>1563</v>
      </c>
      <c r="P110" s="40">
        <f t="shared" si="55"/>
        <v>14104</v>
      </c>
      <c r="Q110" s="2"/>
      <c r="R110" s="2"/>
      <c r="S110" s="2"/>
      <c r="T110" s="11"/>
      <c r="U110" s="2"/>
      <c r="V110" s="2"/>
      <c r="W110" s="2"/>
      <c r="X110" s="2"/>
      <c r="Y110" s="2"/>
      <c r="Z110" s="2"/>
    </row>
    <row r="111" spans="1:26" ht="12.75" customHeight="1" x14ac:dyDescent="0.25">
      <c r="A111" s="24">
        <v>2016</v>
      </c>
      <c r="B111" s="41" t="s">
        <v>36</v>
      </c>
      <c r="C111" s="26" t="s">
        <v>430</v>
      </c>
      <c r="D111" s="31">
        <f>(17--11)*31</f>
        <v>868</v>
      </c>
      <c r="E111" s="31">
        <f>(17--1)*29</f>
        <v>522</v>
      </c>
      <c r="F111" s="31">
        <v>542.5</v>
      </c>
      <c r="G111" s="31">
        <f>(17-4.2)*30</f>
        <v>384</v>
      </c>
      <c r="H111" s="42">
        <v>46</v>
      </c>
      <c r="I111" s="31">
        <v>20</v>
      </c>
      <c r="J111" s="31">
        <v>0</v>
      </c>
      <c r="K111" s="31">
        <v>12</v>
      </c>
      <c r="L111" s="31">
        <v>165</v>
      </c>
      <c r="M111" s="31">
        <v>409.2</v>
      </c>
      <c r="N111" s="31">
        <v>542</v>
      </c>
      <c r="O111" s="42">
        <f>586/1.02</f>
        <v>574.50980392156862</v>
      </c>
      <c r="P111" s="31">
        <f t="shared" si="55"/>
        <v>4085.2098039215684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4">
        <v>2016</v>
      </c>
      <c r="B112" s="41" t="s">
        <v>39</v>
      </c>
      <c r="C112" s="26" t="s">
        <v>431</v>
      </c>
      <c r="D112" s="31">
        <v>712</v>
      </c>
      <c r="E112" s="31">
        <v>664</v>
      </c>
      <c r="F112" s="31">
        <v>598</v>
      </c>
      <c r="G112" s="31">
        <v>387</v>
      </c>
      <c r="H112" s="31">
        <v>156</v>
      </c>
      <c r="I112" s="31">
        <v>20</v>
      </c>
      <c r="J112" s="31">
        <v>4</v>
      </c>
      <c r="K112" s="31">
        <v>30</v>
      </c>
      <c r="L112" s="31">
        <v>187</v>
      </c>
      <c r="M112" s="31">
        <v>375</v>
      </c>
      <c r="N112" s="31">
        <v>518</v>
      </c>
      <c r="O112" s="31">
        <v>655</v>
      </c>
      <c r="P112" s="31">
        <f t="shared" si="55"/>
        <v>4306</v>
      </c>
      <c r="Q112" s="83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4">
        <v>2016</v>
      </c>
      <c r="B113" s="25" t="s">
        <v>42</v>
      </c>
      <c r="C113" s="30" t="s">
        <v>30</v>
      </c>
      <c r="D113" s="31">
        <f t="shared" ref="D113:J113" si="57">D110-D106*($Q$4)</f>
        <v>1610.5</v>
      </c>
      <c r="E113" s="31">
        <f t="shared" si="57"/>
        <v>1171</v>
      </c>
      <c r="F113" s="31">
        <f t="shared" si="57"/>
        <v>1168.5</v>
      </c>
      <c r="G113" s="31">
        <f t="shared" si="57"/>
        <v>887</v>
      </c>
      <c r="H113" s="31">
        <f t="shared" si="57"/>
        <v>268.5</v>
      </c>
      <c r="I113" s="31">
        <f t="shared" si="57"/>
        <v>190</v>
      </c>
      <c r="J113" s="31">
        <f t="shared" si="57"/>
        <v>154.5</v>
      </c>
      <c r="K113" s="31">
        <v>0</v>
      </c>
      <c r="L113" s="31">
        <f t="shared" ref="L113:O113" si="58">L110-L106*($Q$4)</f>
        <v>335</v>
      </c>
      <c r="M113" s="31">
        <f t="shared" si="58"/>
        <v>872.5</v>
      </c>
      <c r="N113" s="31">
        <f t="shared" si="58"/>
        <v>1156</v>
      </c>
      <c r="O113" s="31">
        <f t="shared" si="58"/>
        <v>1144.5</v>
      </c>
      <c r="P113" s="31">
        <f t="shared" si="55"/>
        <v>8958</v>
      </c>
      <c r="Q113" s="83"/>
      <c r="R113" s="2"/>
      <c r="S113" s="11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4">
        <v>2016</v>
      </c>
      <c r="B114" s="25" t="s">
        <v>43</v>
      </c>
      <c r="C114" s="30" t="s">
        <v>30</v>
      </c>
      <c r="D114" s="31">
        <f t="shared" ref="D114:H114" si="59">IF(D113&lt;0,0,((D112/D111))*D113)</f>
        <v>1321.0552995391706</v>
      </c>
      <c r="E114" s="31">
        <f t="shared" si="59"/>
        <v>1489.5478927203067</v>
      </c>
      <c r="F114" s="31">
        <f t="shared" si="59"/>
        <v>1288.0423963133642</v>
      </c>
      <c r="G114" s="31">
        <f t="shared" si="59"/>
        <v>893.9296875</v>
      </c>
      <c r="H114" s="31">
        <f t="shared" si="59"/>
        <v>910.56521739130437</v>
      </c>
      <c r="I114" s="31">
        <f t="shared" ref="I114:K114" si="60">I113</f>
        <v>190</v>
      </c>
      <c r="J114" s="31">
        <f t="shared" si="60"/>
        <v>154.5</v>
      </c>
      <c r="K114" s="31">
        <f t="shared" si="60"/>
        <v>0</v>
      </c>
      <c r="L114" s="31">
        <f t="shared" ref="L114:O114" si="61">IF(L113&lt;0,0,((L112/L111))*L113)</f>
        <v>379.66666666666663</v>
      </c>
      <c r="M114" s="31">
        <f t="shared" si="61"/>
        <v>799.57844574780063</v>
      </c>
      <c r="N114" s="31">
        <f t="shared" si="61"/>
        <v>1104.8118081180812</v>
      </c>
      <c r="O114" s="31">
        <f t="shared" si="61"/>
        <v>1304.8471843003413</v>
      </c>
      <c r="P114" s="40">
        <f t="shared" si="55"/>
        <v>9836.5445982970359</v>
      </c>
      <c r="Q114" s="2"/>
      <c r="R114" s="2"/>
      <c r="S114" s="11"/>
      <c r="T114" s="11"/>
      <c r="U114" s="29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12" t="s">
        <v>12</v>
      </c>
      <c r="B116" s="13"/>
      <c r="C116" s="14"/>
      <c r="D116" s="15" t="s">
        <v>13</v>
      </c>
      <c r="E116" s="15" t="s">
        <v>14</v>
      </c>
      <c r="F116" s="15" t="s">
        <v>15</v>
      </c>
      <c r="G116" s="15" t="s">
        <v>16</v>
      </c>
      <c r="H116" s="15" t="s">
        <v>17</v>
      </c>
      <c r="I116" s="15" t="s">
        <v>18</v>
      </c>
      <c r="J116" s="16" t="s">
        <v>19</v>
      </c>
      <c r="K116" s="15" t="s">
        <v>20</v>
      </c>
      <c r="L116" s="15" t="s">
        <v>21</v>
      </c>
      <c r="M116" s="15" t="s">
        <v>22</v>
      </c>
      <c r="N116" s="15" t="s">
        <v>23</v>
      </c>
      <c r="O116" s="15" t="s">
        <v>24</v>
      </c>
      <c r="P116" s="15" t="s">
        <v>25</v>
      </c>
      <c r="Q116" s="2"/>
      <c r="R116" s="92"/>
      <c r="S116" s="2"/>
      <c r="T116" s="2"/>
      <c r="U116" s="2"/>
      <c r="V116" s="2"/>
      <c r="W116" s="2"/>
      <c r="X116" s="2"/>
      <c r="Y116" s="2"/>
      <c r="Z116" s="2"/>
    </row>
    <row r="117" spans="1:26" ht="9.75" hidden="1" customHeight="1" x14ac:dyDescent="0.25">
      <c r="A117" s="12"/>
      <c r="B117" s="13"/>
      <c r="C117" s="14"/>
      <c r="D117" s="77">
        <v>31</v>
      </c>
      <c r="E117" s="77">
        <v>28</v>
      </c>
      <c r="F117" s="77">
        <v>31</v>
      </c>
      <c r="G117" s="77">
        <v>30</v>
      </c>
      <c r="H117" s="77">
        <v>31</v>
      </c>
      <c r="I117" s="77">
        <v>30</v>
      </c>
      <c r="J117" s="78">
        <v>31</v>
      </c>
      <c r="K117" s="77">
        <v>31</v>
      </c>
      <c r="L117" s="77">
        <v>30</v>
      </c>
      <c r="M117" s="77">
        <v>31</v>
      </c>
      <c r="N117" s="77">
        <v>30</v>
      </c>
      <c r="O117" s="77">
        <v>31</v>
      </c>
      <c r="P117" s="15">
        <f>SUM(D117:O117)</f>
        <v>365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4">
        <v>2017</v>
      </c>
      <c r="B118" s="25" t="s">
        <v>27</v>
      </c>
      <c r="C118" s="26" t="s">
        <v>432</v>
      </c>
      <c r="D118" s="27">
        <v>-3.6</v>
      </c>
      <c r="E118" s="27">
        <v>-4.37</v>
      </c>
      <c r="F118" s="27">
        <v>0.3</v>
      </c>
      <c r="G118" s="27">
        <v>2.4</v>
      </c>
      <c r="H118" s="27">
        <v>10.3</v>
      </c>
      <c r="I118" s="27">
        <v>14.33</v>
      </c>
      <c r="J118" s="27">
        <v>16.5</v>
      </c>
      <c r="K118" s="27">
        <v>14.8</v>
      </c>
      <c r="L118" s="27">
        <v>10.5</v>
      </c>
      <c r="M118" s="27">
        <v>4.3</v>
      </c>
      <c r="N118" s="27">
        <v>1.8</v>
      </c>
      <c r="O118" s="27">
        <v>-1</v>
      </c>
      <c r="P118" s="27">
        <f>AVERAGE(D118:O118)</f>
        <v>5.5216666666666656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4">
        <v>2017</v>
      </c>
      <c r="B119" s="25" t="s">
        <v>29</v>
      </c>
      <c r="C119" s="30" t="s">
        <v>30</v>
      </c>
      <c r="D119" s="31">
        <v>986</v>
      </c>
      <c r="E119" s="31">
        <v>856</v>
      </c>
      <c r="F119" s="31">
        <v>849</v>
      </c>
      <c r="G119" s="31">
        <v>704</v>
      </c>
      <c r="H119" s="31">
        <v>473</v>
      </c>
      <c r="I119" s="42">
        <v>347</v>
      </c>
      <c r="J119" s="42">
        <v>262</v>
      </c>
      <c r="K119" s="31">
        <v>347</v>
      </c>
      <c r="L119" s="31">
        <v>469</v>
      </c>
      <c r="M119" s="31">
        <v>678</v>
      </c>
      <c r="N119" s="31">
        <v>794</v>
      </c>
      <c r="O119" s="31">
        <v>861</v>
      </c>
      <c r="P119" s="31">
        <f t="shared" ref="P119:P125" si="62">SUM(D119:O119)</f>
        <v>7626</v>
      </c>
      <c r="Q119" s="2"/>
      <c r="R119" s="11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4">
        <v>2017</v>
      </c>
      <c r="B120" s="25" t="s">
        <v>31</v>
      </c>
      <c r="C120" s="30" t="s">
        <v>30</v>
      </c>
      <c r="D120" s="31">
        <v>756</v>
      </c>
      <c r="E120" s="31">
        <v>667</v>
      </c>
      <c r="F120" s="31">
        <v>694</v>
      </c>
      <c r="G120" s="31">
        <v>594</v>
      </c>
      <c r="H120" s="31">
        <v>476</v>
      </c>
      <c r="I120" s="42">
        <v>358</v>
      </c>
      <c r="J120" s="42">
        <v>255</v>
      </c>
      <c r="K120" s="31">
        <v>303</v>
      </c>
      <c r="L120" s="31">
        <v>399</v>
      </c>
      <c r="M120" s="31">
        <v>567</v>
      </c>
      <c r="N120" s="31">
        <v>627</v>
      </c>
      <c r="O120" s="31">
        <v>681</v>
      </c>
      <c r="P120" s="31">
        <f t="shared" si="62"/>
        <v>6377</v>
      </c>
      <c r="Q120" s="2"/>
      <c r="R120" s="11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4">
        <v>2017</v>
      </c>
      <c r="B121" s="25" t="s">
        <v>32</v>
      </c>
      <c r="C121" s="30" t="s">
        <v>30</v>
      </c>
      <c r="D121" s="31">
        <f t="shared" ref="D121:O121" si="63">SUM(D119:D120)</f>
        <v>1742</v>
      </c>
      <c r="E121" s="31">
        <f t="shared" si="63"/>
        <v>1523</v>
      </c>
      <c r="F121" s="31">
        <f t="shared" si="63"/>
        <v>1543</v>
      </c>
      <c r="G121" s="31">
        <f t="shared" si="63"/>
        <v>1298</v>
      </c>
      <c r="H121" s="31">
        <f t="shared" si="63"/>
        <v>949</v>
      </c>
      <c r="I121" s="31">
        <f t="shared" si="63"/>
        <v>705</v>
      </c>
      <c r="J121" s="31">
        <f t="shared" si="63"/>
        <v>517</v>
      </c>
      <c r="K121" s="31">
        <f t="shared" si="63"/>
        <v>650</v>
      </c>
      <c r="L121" s="31">
        <f t="shared" si="63"/>
        <v>868</v>
      </c>
      <c r="M121" s="31">
        <f t="shared" si="63"/>
        <v>1245</v>
      </c>
      <c r="N121" s="31">
        <f t="shared" si="63"/>
        <v>1421</v>
      </c>
      <c r="O121" s="31">
        <f t="shared" si="63"/>
        <v>1542</v>
      </c>
      <c r="P121" s="40">
        <f t="shared" si="62"/>
        <v>14003</v>
      </c>
      <c r="Q121" s="2"/>
      <c r="R121" s="11"/>
      <c r="S121" s="2"/>
      <c r="T121" s="11"/>
      <c r="U121" s="2"/>
      <c r="V121" s="2"/>
      <c r="W121" s="2"/>
      <c r="X121" s="2"/>
      <c r="Y121" s="2"/>
      <c r="Z121" s="2"/>
    </row>
    <row r="122" spans="1:26" ht="12.75" customHeight="1" x14ac:dyDescent="0.25">
      <c r="A122" s="24">
        <v>2017</v>
      </c>
      <c r="B122" s="41" t="s">
        <v>36</v>
      </c>
      <c r="C122" s="26" t="s">
        <v>433</v>
      </c>
      <c r="D122" s="31">
        <f>647/1.02</f>
        <v>634.31372549019602</v>
      </c>
      <c r="E122" s="31">
        <f>(17--4.4)*28</f>
        <v>599.19999999999993</v>
      </c>
      <c r="F122" s="31">
        <v>518</v>
      </c>
      <c r="G122" s="31">
        <f>460/1.02</f>
        <v>450.98039215686276</v>
      </c>
      <c r="H122" s="42">
        <f>219/1.02</f>
        <v>214.70588235294116</v>
      </c>
      <c r="I122" s="31">
        <v>81</v>
      </c>
      <c r="J122" s="31">
        <v>10</v>
      </c>
      <c r="K122" s="31">
        <v>34</v>
      </c>
      <c r="L122" s="31">
        <f>188/1.02</f>
        <v>184.31372549019608</v>
      </c>
      <c r="M122" s="31">
        <v>385</v>
      </c>
      <c r="N122" s="31">
        <f>470/1.02</f>
        <v>460.78431372549016</v>
      </c>
      <c r="O122" s="42">
        <f>(17--0.2)*31</f>
        <v>533.19999999999993</v>
      </c>
      <c r="P122" s="31">
        <f t="shared" si="62"/>
        <v>4105.4980392156858</v>
      </c>
      <c r="Q122" s="2"/>
      <c r="R122" s="11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4">
        <v>2017</v>
      </c>
      <c r="B123" s="41" t="s">
        <v>39</v>
      </c>
      <c r="C123" s="26" t="s">
        <v>434</v>
      </c>
      <c r="D123" s="31">
        <v>712</v>
      </c>
      <c r="E123" s="31">
        <v>664</v>
      </c>
      <c r="F123" s="31">
        <v>598</v>
      </c>
      <c r="G123" s="31">
        <v>387</v>
      </c>
      <c r="H123" s="31">
        <v>156</v>
      </c>
      <c r="I123" s="31">
        <v>20</v>
      </c>
      <c r="J123" s="31">
        <v>4</v>
      </c>
      <c r="K123" s="31">
        <v>30</v>
      </c>
      <c r="L123" s="31">
        <v>187</v>
      </c>
      <c r="M123" s="31">
        <v>375</v>
      </c>
      <c r="N123" s="31">
        <v>518</v>
      </c>
      <c r="O123" s="31">
        <v>655</v>
      </c>
      <c r="P123" s="31">
        <f t="shared" si="62"/>
        <v>4306</v>
      </c>
      <c r="Q123" s="83"/>
      <c r="R123" s="11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4">
        <v>2017</v>
      </c>
      <c r="B124" s="25" t="s">
        <v>42</v>
      </c>
      <c r="C124" s="30" t="s">
        <v>30</v>
      </c>
      <c r="D124" s="31">
        <f t="shared" ref="D124:J124" si="64">D121-D117*($Q$4)</f>
        <v>1323.5</v>
      </c>
      <c r="E124" s="31">
        <f t="shared" si="64"/>
        <v>1145</v>
      </c>
      <c r="F124" s="31">
        <f t="shared" si="64"/>
        <v>1124.5</v>
      </c>
      <c r="G124" s="31">
        <f t="shared" si="64"/>
        <v>893</v>
      </c>
      <c r="H124" s="31">
        <f t="shared" si="64"/>
        <v>530.5</v>
      </c>
      <c r="I124" s="31">
        <f t="shared" si="64"/>
        <v>300</v>
      </c>
      <c r="J124" s="31">
        <f t="shared" si="64"/>
        <v>98.5</v>
      </c>
      <c r="K124" s="31">
        <v>0</v>
      </c>
      <c r="L124" s="31">
        <f t="shared" ref="L124:O124" si="65">L121-L117*($Q$4)</f>
        <v>463</v>
      </c>
      <c r="M124" s="31">
        <f t="shared" si="65"/>
        <v>826.5</v>
      </c>
      <c r="N124" s="31">
        <f t="shared" si="65"/>
        <v>1016</v>
      </c>
      <c r="O124" s="31">
        <f t="shared" si="65"/>
        <v>1123.5</v>
      </c>
      <c r="P124" s="31">
        <f t="shared" si="62"/>
        <v>8844</v>
      </c>
      <c r="Q124" s="83"/>
      <c r="R124" s="11"/>
      <c r="S124" s="11"/>
      <c r="T124" s="2"/>
      <c r="U124" s="43"/>
      <c r="V124" s="43"/>
      <c r="W124" s="2"/>
      <c r="X124" s="2"/>
      <c r="Y124" s="2"/>
      <c r="Z124" s="2"/>
    </row>
    <row r="125" spans="1:26" ht="12.75" customHeight="1" x14ac:dyDescent="0.25">
      <c r="A125" s="24">
        <v>2017</v>
      </c>
      <c r="B125" s="25" t="s">
        <v>43</v>
      </c>
      <c r="C125" s="30" t="s">
        <v>30</v>
      </c>
      <c r="D125" s="31">
        <f t="shared" ref="D125:H125" si="66">IF(D124&lt;0,0,((D123/D122))*D124)</f>
        <v>1485.5929520865536</v>
      </c>
      <c r="E125" s="31">
        <f t="shared" si="66"/>
        <v>1268.8251001335116</v>
      </c>
      <c r="F125" s="31">
        <f t="shared" si="66"/>
        <v>1298.1679536679535</v>
      </c>
      <c r="G125" s="31">
        <f t="shared" si="66"/>
        <v>766.31047826086956</v>
      </c>
      <c r="H125" s="31">
        <f t="shared" si="66"/>
        <v>385.44821917808224</v>
      </c>
      <c r="I125" s="31">
        <f t="shared" ref="I125:K125" si="67">I124</f>
        <v>300</v>
      </c>
      <c r="J125" s="31">
        <f t="shared" si="67"/>
        <v>98.5</v>
      </c>
      <c r="K125" s="31">
        <f t="shared" si="67"/>
        <v>0</v>
      </c>
      <c r="L125" s="31">
        <f t="shared" ref="L125:O125" si="68">IF(L124&lt;0,0,((L123/L122))*L124)</f>
        <v>469.74797872340423</v>
      </c>
      <c r="M125" s="31">
        <f t="shared" si="68"/>
        <v>805.03246753246754</v>
      </c>
      <c r="N125" s="31">
        <f t="shared" si="68"/>
        <v>1142.1569361702129</v>
      </c>
      <c r="O125" s="31">
        <f t="shared" si="68"/>
        <v>1380.1434733683423</v>
      </c>
      <c r="P125" s="40">
        <f t="shared" si="62"/>
        <v>9399.9255591213969</v>
      </c>
      <c r="Q125" s="2"/>
      <c r="R125" s="11"/>
      <c r="S125" s="11"/>
      <c r="T125" s="11"/>
      <c r="U125" s="29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12" t="s">
        <v>12</v>
      </c>
      <c r="B127" s="13"/>
      <c r="C127" s="14"/>
      <c r="D127" s="15" t="s">
        <v>13</v>
      </c>
      <c r="E127" s="15" t="s">
        <v>14</v>
      </c>
      <c r="F127" s="15" t="s">
        <v>15</v>
      </c>
      <c r="G127" s="15" t="s">
        <v>16</v>
      </c>
      <c r="H127" s="15" t="s">
        <v>17</v>
      </c>
      <c r="I127" s="15" t="s">
        <v>18</v>
      </c>
      <c r="J127" s="16" t="s">
        <v>19</v>
      </c>
      <c r="K127" s="15" t="s">
        <v>20</v>
      </c>
      <c r="L127" s="15" t="s">
        <v>21</v>
      </c>
      <c r="M127" s="15" t="s">
        <v>22</v>
      </c>
      <c r="N127" s="15" t="s">
        <v>23</v>
      </c>
      <c r="O127" s="15" t="s">
        <v>24</v>
      </c>
      <c r="P127" s="15" t="s">
        <v>25</v>
      </c>
      <c r="Q127" s="2"/>
      <c r="R127" s="92"/>
      <c r="S127" s="2"/>
      <c r="T127" s="2"/>
      <c r="U127" s="2"/>
      <c r="V127" s="2"/>
      <c r="W127" s="2"/>
      <c r="X127" s="2"/>
      <c r="Y127" s="2"/>
      <c r="Z127" s="2"/>
    </row>
    <row r="128" spans="1:26" ht="9.75" hidden="1" customHeight="1" x14ac:dyDescent="0.25">
      <c r="A128" s="12"/>
      <c r="B128" s="13"/>
      <c r="C128" s="14"/>
      <c r="D128" s="77">
        <v>31</v>
      </c>
      <c r="E128" s="77">
        <v>28</v>
      </c>
      <c r="F128" s="77">
        <v>31</v>
      </c>
      <c r="G128" s="77">
        <v>30</v>
      </c>
      <c r="H128" s="77">
        <v>31</v>
      </c>
      <c r="I128" s="77">
        <v>30</v>
      </c>
      <c r="J128" s="78">
        <v>31</v>
      </c>
      <c r="K128" s="77">
        <v>31</v>
      </c>
      <c r="L128" s="77">
        <v>30</v>
      </c>
      <c r="M128" s="77">
        <v>31</v>
      </c>
      <c r="N128" s="77">
        <v>30</v>
      </c>
      <c r="O128" s="77">
        <v>31</v>
      </c>
      <c r="P128" s="15">
        <f>SUM(D128:O128)</f>
        <v>365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4">
        <v>2018</v>
      </c>
      <c r="B129" s="25" t="s">
        <v>27</v>
      </c>
      <c r="C129" s="26" t="s">
        <v>435</v>
      </c>
      <c r="D129" s="27">
        <v>-2.9</v>
      </c>
      <c r="E129" s="27">
        <v>-8.9</v>
      </c>
      <c r="F129" s="27">
        <v>-5.5</v>
      </c>
      <c r="G129" s="27">
        <v>4.4000000000000004</v>
      </c>
      <c r="H129" s="27">
        <v>14.4</v>
      </c>
      <c r="I129" s="27">
        <v>14.7</v>
      </c>
      <c r="J129" s="27">
        <v>19.8</v>
      </c>
      <c r="K129" s="27">
        <v>16.8</v>
      </c>
      <c r="L129" s="27">
        <v>12.1</v>
      </c>
      <c r="M129" s="27">
        <v>5.6</v>
      </c>
      <c r="N129" s="27">
        <v>2.2000000000000002</v>
      </c>
      <c r="O129" s="27">
        <v>-2.6</v>
      </c>
      <c r="P129" s="27">
        <f>AVERAGE(D129:O129)</f>
        <v>5.8416666666666659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4">
        <v>2018</v>
      </c>
      <c r="B130" s="25" t="s">
        <v>29</v>
      </c>
      <c r="C130" s="30" t="s">
        <v>30</v>
      </c>
      <c r="D130" s="31">
        <v>999</v>
      </c>
      <c r="E130" s="31">
        <v>959</v>
      </c>
      <c r="F130" s="31">
        <v>939</v>
      </c>
      <c r="G130" s="31">
        <v>656</v>
      </c>
      <c r="H130" s="31">
        <v>309</v>
      </c>
      <c r="I130" s="42">
        <v>272</v>
      </c>
      <c r="J130" s="42">
        <v>243</v>
      </c>
      <c r="K130" s="31">
        <v>233</v>
      </c>
      <c r="L130" s="31">
        <v>395</v>
      </c>
      <c r="M130" s="31">
        <v>621</v>
      </c>
      <c r="N130" s="31">
        <v>773</v>
      </c>
      <c r="O130" s="31">
        <v>953</v>
      </c>
      <c r="P130" s="31">
        <f t="shared" ref="P130:P136" si="69">SUM(D130:O130)</f>
        <v>7352</v>
      </c>
      <c r="Q130" s="2"/>
      <c r="R130" s="11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4">
        <v>2018</v>
      </c>
      <c r="B131" s="25" t="s">
        <v>31</v>
      </c>
      <c r="C131" s="30" t="s">
        <v>30</v>
      </c>
      <c r="D131" s="31">
        <v>756</v>
      </c>
      <c r="E131" s="31">
        <v>704</v>
      </c>
      <c r="F131" s="31">
        <v>766</v>
      </c>
      <c r="G131" s="31">
        <v>622</v>
      </c>
      <c r="H131" s="31">
        <v>373</v>
      </c>
      <c r="I131" s="42">
        <v>317</v>
      </c>
      <c r="J131" s="42">
        <v>277</v>
      </c>
      <c r="K131" s="31">
        <v>252</v>
      </c>
      <c r="L131" s="31">
        <v>387</v>
      </c>
      <c r="M131" s="31">
        <v>536</v>
      </c>
      <c r="N131" s="31">
        <v>627</v>
      </c>
      <c r="O131" s="31">
        <v>702</v>
      </c>
      <c r="P131" s="31">
        <f t="shared" si="69"/>
        <v>6319</v>
      </c>
      <c r="Q131" s="2"/>
      <c r="R131" s="11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4">
        <v>2018</v>
      </c>
      <c r="B132" s="25" t="s">
        <v>32</v>
      </c>
      <c r="C132" s="30" t="s">
        <v>30</v>
      </c>
      <c r="D132" s="31">
        <f t="shared" ref="D132:O132" si="70">SUM(D130:D131)</f>
        <v>1755</v>
      </c>
      <c r="E132" s="31">
        <f t="shared" si="70"/>
        <v>1663</v>
      </c>
      <c r="F132" s="31">
        <f t="shared" si="70"/>
        <v>1705</v>
      </c>
      <c r="G132" s="31">
        <f t="shared" si="70"/>
        <v>1278</v>
      </c>
      <c r="H132" s="31">
        <f t="shared" si="70"/>
        <v>682</v>
      </c>
      <c r="I132" s="31">
        <f t="shared" si="70"/>
        <v>589</v>
      </c>
      <c r="J132" s="31">
        <f t="shared" si="70"/>
        <v>520</v>
      </c>
      <c r="K132" s="31">
        <f t="shared" si="70"/>
        <v>485</v>
      </c>
      <c r="L132" s="31">
        <f t="shared" si="70"/>
        <v>782</v>
      </c>
      <c r="M132" s="31">
        <f t="shared" si="70"/>
        <v>1157</v>
      </c>
      <c r="N132" s="31">
        <f t="shared" si="70"/>
        <v>1400</v>
      </c>
      <c r="O132" s="31">
        <f t="shared" si="70"/>
        <v>1655</v>
      </c>
      <c r="P132" s="40">
        <f t="shared" si="69"/>
        <v>13671</v>
      </c>
      <c r="Q132" s="2"/>
      <c r="R132" s="11"/>
      <c r="S132" s="2"/>
      <c r="T132" s="11"/>
      <c r="U132" s="2"/>
      <c r="V132" s="2"/>
      <c r="W132" s="2"/>
      <c r="X132" s="2"/>
      <c r="Y132" s="2"/>
      <c r="Z132" s="2"/>
    </row>
    <row r="133" spans="1:26" ht="12.75" customHeight="1" x14ac:dyDescent="0.25">
      <c r="A133" s="24">
        <v>2018</v>
      </c>
      <c r="B133" s="41" t="s">
        <v>36</v>
      </c>
      <c r="C133" s="26" t="s">
        <v>436</v>
      </c>
      <c r="D133" s="31">
        <f>634/1.02</f>
        <v>621.56862745098033</v>
      </c>
      <c r="E133" s="31">
        <v>725</v>
      </c>
      <c r="F133" s="31">
        <v>704</v>
      </c>
      <c r="G133" s="31">
        <f>(17-5.1)*30</f>
        <v>357</v>
      </c>
      <c r="H133" s="42">
        <f>45/1.02</f>
        <v>44.117647058823529</v>
      </c>
      <c r="I133" s="31">
        <f>(17-14.7)*(30-11)</f>
        <v>43.700000000000017</v>
      </c>
      <c r="J133" s="31">
        <v>0</v>
      </c>
      <c r="K133" s="31">
        <v>0</v>
      </c>
      <c r="L133" s="31">
        <v>123</v>
      </c>
      <c r="M133" s="31">
        <v>363</v>
      </c>
      <c r="N133" s="31">
        <f>450/1.02</f>
        <v>441.1764705882353</v>
      </c>
      <c r="O133" s="42">
        <v>608</v>
      </c>
      <c r="P133" s="31">
        <f t="shared" si="69"/>
        <v>4030.5627450980387</v>
      </c>
      <c r="Q133" s="2"/>
      <c r="R133" s="11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4">
        <v>2018</v>
      </c>
      <c r="B134" s="41" t="s">
        <v>39</v>
      </c>
      <c r="C134" s="26" t="s">
        <v>437</v>
      </c>
      <c r="D134" s="31">
        <v>712</v>
      </c>
      <c r="E134" s="31">
        <v>664</v>
      </c>
      <c r="F134" s="31">
        <v>598</v>
      </c>
      <c r="G134" s="31">
        <v>387</v>
      </c>
      <c r="H134" s="31">
        <v>156</v>
      </c>
      <c r="I134" s="31">
        <v>20</v>
      </c>
      <c r="J134" s="31">
        <v>4</v>
      </c>
      <c r="K134" s="31">
        <v>30</v>
      </c>
      <c r="L134" s="31">
        <v>187</v>
      </c>
      <c r="M134" s="31">
        <v>375</v>
      </c>
      <c r="N134" s="31">
        <v>518</v>
      </c>
      <c r="O134" s="31">
        <v>655</v>
      </c>
      <c r="P134" s="31">
        <f t="shared" si="69"/>
        <v>4306</v>
      </c>
      <c r="Q134" s="83"/>
      <c r="R134" s="11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4">
        <v>2018</v>
      </c>
      <c r="B135" s="25" t="s">
        <v>42</v>
      </c>
      <c r="C135" s="30" t="s">
        <v>30</v>
      </c>
      <c r="D135" s="31">
        <f t="shared" ref="D135:J135" si="71">D132-D128*($Q$4)</f>
        <v>1336.5</v>
      </c>
      <c r="E135" s="31">
        <f t="shared" si="71"/>
        <v>1285</v>
      </c>
      <c r="F135" s="31">
        <f t="shared" si="71"/>
        <v>1286.5</v>
      </c>
      <c r="G135" s="31">
        <f t="shared" si="71"/>
        <v>873</v>
      </c>
      <c r="H135" s="31">
        <f t="shared" si="71"/>
        <v>263.5</v>
      </c>
      <c r="I135" s="31">
        <f t="shared" si="71"/>
        <v>184</v>
      </c>
      <c r="J135" s="31">
        <f t="shared" si="71"/>
        <v>101.5</v>
      </c>
      <c r="K135" s="31">
        <v>0</v>
      </c>
      <c r="L135" s="31">
        <f t="shared" ref="L135:O135" si="72">L132-L128*($Q$4)</f>
        <v>377</v>
      </c>
      <c r="M135" s="31">
        <f t="shared" si="72"/>
        <v>738.5</v>
      </c>
      <c r="N135" s="31">
        <f t="shared" si="72"/>
        <v>995</v>
      </c>
      <c r="O135" s="31">
        <f t="shared" si="72"/>
        <v>1236.5</v>
      </c>
      <c r="P135" s="31">
        <f t="shared" si="69"/>
        <v>8677</v>
      </c>
      <c r="Q135" s="83"/>
      <c r="R135" s="11"/>
      <c r="S135" s="11"/>
      <c r="T135" s="11">
        <f>P135+P124+P113+P102+P91</f>
        <v>44263.485185185185</v>
      </c>
      <c r="U135" s="2"/>
      <c r="V135" s="2"/>
      <c r="W135" s="11">
        <f>AVERAGE(T135,'Naapurit I'!T135)/5</f>
        <v>7681.7459788359793</v>
      </c>
      <c r="X135" s="2"/>
      <c r="Y135" s="2"/>
      <c r="Z135" s="2"/>
    </row>
    <row r="136" spans="1:26" ht="12.75" customHeight="1" x14ac:dyDescent="0.25">
      <c r="A136" s="24">
        <v>2018</v>
      </c>
      <c r="B136" s="25" t="s">
        <v>43</v>
      </c>
      <c r="C136" s="30" t="s">
        <v>30</v>
      </c>
      <c r="D136" s="31">
        <f t="shared" ref="D136:H136" si="73">IF(D135&lt;0,0,((D134/D133))*D135)</f>
        <v>1530.9459936908518</v>
      </c>
      <c r="E136" s="31">
        <f t="shared" si="73"/>
        <v>1176.8827586206896</v>
      </c>
      <c r="F136" s="31">
        <f t="shared" si="73"/>
        <v>1092.7940340909092</v>
      </c>
      <c r="G136" s="31">
        <f t="shared" si="73"/>
        <v>946.36134453781506</v>
      </c>
      <c r="H136" s="31">
        <f t="shared" si="73"/>
        <v>931.73599999999999</v>
      </c>
      <c r="I136" s="31">
        <f t="shared" ref="I136:K136" si="74">I135</f>
        <v>184</v>
      </c>
      <c r="J136" s="31">
        <f t="shared" si="74"/>
        <v>101.5</v>
      </c>
      <c r="K136" s="31">
        <f t="shared" si="74"/>
        <v>0</v>
      </c>
      <c r="L136" s="31">
        <f t="shared" ref="L136:O136" si="75">IF(L135&lt;0,0,((L134/L133))*L135)</f>
        <v>573.16260162601623</v>
      </c>
      <c r="M136" s="31">
        <f t="shared" si="75"/>
        <v>762.9132231404958</v>
      </c>
      <c r="N136" s="31">
        <f t="shared" si="75"/>
        <v>1168.2626666666665</v>
      </c>
      <c r="O136" s="31">
        <f t="shared" si="75"/>
        <v>1332.0847039473683</v>
      </c>
      <c r="P136" s="40">
        <f t="shared" si="69"/>
        <v>9800.643326320811</v>
      </c>
      <c r="Q136" s="2"/>
      <c r="R136" s="11"/>
      <c r="S136" s="11"/>
      <c r="T136" s="11"/>
      <c r="U136" s="29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12" t="s">
        <v>12</v>
      </c>
      <c r="B138" s="13"/>
      <c r="C138" s="14"/>
      <c r="D138" s="15" t="s">
        <v>13</v>
      </c>
      <c r="E138" s="15" t="s">
        <v>14</v>
      </c>
      <c r="F138" s="15" t="s">
        <v>15</v>
      </c>
      <c r="G138" s="15" t="s">
        <v>16</v>
      </c>
      <c r="H138" s="15" t="s">
        <v>17</v>
      </c>
      <c r="I138" s="15" t="s">
        <v>18</v>
      </c>
      <c r="J138" s="16" t="s">
        <v>19</v>
      </c>
      <c r="K138" s="15" t="s">
        <v>20</v>
      </c>
      <c r="L138" s="15" t="s">
        <v>21</v>
      </c>
      <c r="M138" s="15" t="s">
        <v>22</v>
      </c>
      <c r="N138" s="15" t="s">
        <v>23</v>
      </c>
      <c r="O138" s="15" t="s">
        <v>24</v>
      </c>
      <c r="P138" s="15" t="s">
        <v>25</v>
      </c>
      <c r="Q138" s="2"/>
      <c r="R138" s="9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2"/>
      <c r="B139" s="13"/>
      <c r="C139" s="14"/>
      <c r="D139" s="77">
        <v>31</v>
      </c>
      <c r="E139" s="77">
        <v>28</v>
      </c>
      <c r="F139" s="77">
        <v>31</v>
      </c>
      <c r="G139" s="77">
        <v>30</v>
      </c>
      <c r="H139" s="77">
        <v>31</v>
      </c>
      <c r="I139" s="77">
        <v>30</v>
      </c>
      <c r="J139" s="78">
        <v>31</v>
      </c>
      <c r="K139" s="77">
        <v>31</v>
      </c>
      <c r="L139" s="77">
        <v>30</v>
      </c>
      <c r="M139" s="77">
        <v>31</v>
      </c>
      <c r="N139" s="77">
        <v>30</v>
      </c>
      <c r="O139" s="77">
        <v>31</v>
      </c>
      <c r="P139" s="15">
        <f>SUM(D139:O139)</f>
        <v>365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4">
        <v>2019</v>
      </c>
      <c r="B140" s="25" t="s">
        <v>27</v>
      </c>
      <c r="C140" s="26" t="s">
        <v>438</v>
      </c>
      <c r="D140" s="27">
        <v>-7.5</v>
      </c>
      <c r="E140" s="27">
        <v>-0.9</v>
      </c>
      <c r="F140" s="27">
        <v>-1</v>
      </c>
      <c r="G140" s="27">
        <v>5.6</v>
      </c>
      <c r="H140" s="27">
        <v>9.9</v>
      </c>
      <c r="I140" s="27">
        <v>18.899999999999999</v>
      </c>
      <c r="J140" s="27">
        <v>18.2</v>
      </c>
      <c r="K140" s="27">
        <v>16.100000000000001</v>
      </c>
      <c r="L140" s="27">
        <v>9.9</v>
      </c>
      <c r="M140" s="27">
        <v>4.3</v>
      </c>
      <c r="N140" s="27">
        <v>0.9</v>
      </c>
      <c r="O140" s="27">
        <v>0.7</v>
      </c>
      <c r="P140" s="27">
        <f>AVERAGE(D140:O140)</f>
        <v>6.2583333333333337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4">
        <v>2019</v>
      </c>
      <c r="B141" s="25" t="s">
        <v>29</v>
      </c>
      <c r="C141" s="30" t="s">
        <v>30</v>
      </c>
      <c r="D141" s="31">
        <v>1077</v>
      </c>
      <c r="E141" s="31">
        <v>841</v>
      </c>
      <c r="F141" s="31">
        <v>837</v>
      </c>
      <c r="G141" s="31">
        <v>599</v>
      </c>
      <c r="H141" s="31">
        <v>460</v>
      </c>
      <c r="I141" s="42">
        <v>265</v>
      </c>
      <c r="J141" s="42">
        <v>236</v>
      </c>
      <c r="K141" s="31">
        <v>280</v>
      </c>
      <c r="L141" s="31">
        <v>441</v>
      </c>
      <c r="M141" s="31">
        <v>678</v>
      </c>
      <c r="N141" s="31">
        <v>815</v>
      </c>
      <c r="O141" s="31">
        <v>855</v>
      </c>
      <c r="P141" s="31">
        <f t="shared" ref="P141:P147" si="76">SUM(D141:O141)</f>
        <v>7384</v>
      </c>
      <c r="Q141" s="2"/>
      <c r="R141" s="11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4">
        <v>2019</v>
      </c>
      <c r="B142" s="25" t="s">
        <v>31</v>
      </c>
      <c r="C142" s="30" t="s">
        <v>30</v>
      </c>
      <c r="D142" s="31">
        <v>798</v>
      </c>
      <c r="E142" s="31">
        <v>674</v>
      </c>
      <c r="F142" s="31">
        <v>674</v>
      </c>
      <c r="G142" s="31">
        <v>562</v>
      </c>
      <c r="H142" s="31">
        <v>467</v>
      </c>
      <c r="I142" s="42">
        <v>293</v>
      </c>
      <c r="J142" s="42">
        <v>287</v>
      </c>
      <c r="K142" s="31">
        <v>312</v>
      </c>
      <c r="L142" s="31">
        <v>419</v>
      </c>
      <c r="M142" s="31">
        <v>579</v>
      </c>
      <c r="N142" s="31">
        <v>646</v>
      </c>
      <c r="O142" s="31">
        <v>652</v>
      </c>
      <c r="P142" s="31">
        <f t="shared" si="76"/>
        <v>6363</v>
      </c>
      <c r="Q142" s="2"/>
      <c r="R142" s="11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4">
        <v>2019</v>
      </c>
      <c r="B143" s="25" t="s">
        <v>32</v>
      </c>
      <c r="C143" s="30" t="s">
        <v>30</v>
      </c>
      <c r="D143" s="31">
        <f t="shared" ref="D143:O143" si="77">SUM(D141:D142)</f>
        <v>1875</v>
      </c>
      <c r="E143" s="31">
        <f t="shared" si="77"/>
        <v>1515</v>
      </c>
      <c r="F143" s="31">
        <f t="shared" si="77"/>
        <v>1511</v>
      </c>
      <c r="G143" s="31">
        <f t="shared" si="77"/>
        <v>1161</v>
      </c>
      <c r="H143" s="31">
        <f t="shared" si="77"/>
        <v>927</v>
      </c>
      <c r="I143" s="31">
        <f t="shared" si="77"/>
        <v>558</v>
      </c>
      <c r="J143" s="31">
        <f t="shared" si="77"/>
        <v>523</v>
      </c>
      <c r="K143" s="31">
        <f t="shared" si="77"/>
        <v>592</v>
      </c>
      <c r="L143" s="31">
        <f t="shared" si="77"/>
        <v>860</v>
      </c>
      <c r="M143" s="31">
        <f t="shared" si="77"/>
        <v>1257</v>
      </c>
      <c r="N143" s="31">
        <f t="shared" si="77"/>
        <v>1461</v>
      </c>
      <c r="O143" s="31">
        <f t="shared" si="77"/>
        <v>1507</v>
      </c>
      <c r="P143" s="40">
        <f t="shared" si="76"/>
        <v>13747</v>
      </c>
      <c r="Q143" s="2"/>
      <c r="R143" s="11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4">
        <v>2019</v>
      </c>
      <c r="B144" s="41" t="s">
        <v>36</v>
      </c>
      <c r="C144" s="26" t="s">
        <v>439</v>
      </c>
      <c r="D144" s="31">
        <f>780/1.02</f>
        <v>764.70588235294122</v>
      </c>
      <c r="E144" s="31">
        <f>514/1.02</f>
        <v>503.92156862745099</v>
      </c>
      <c r="F144" s="31">
        <v>558</v>
      </c>
      <c r="G144" s="31">
        <v>313</v>
      </c>
      <c r="H144" s="42">
        <v>158</v>
      </c>
      <c r="I144" s="31">
        <v>0</v>
      </c>
      <c r="J144" s="31">
        <v>11</v>
      </c>
      <c r="K144" s="31">
        <v>0</v>
      </c>
      <c r="L144" s="31">
        <v>176</v>
      </c>
      <c r="M144" s="31">
        <v>390</v>
      </c>
      <c r="N144" s="31">
        <v>478</v>
      </c>
      <c r="O144" s="42">
        <v>510</v>
      </c>
      <c r="P144" s="31">
        <f t="shared" si="76"/>
        <v>3862.6274509803925</v>
      </c>
      <c r="Q144" s="2"/>
      <c r="R144" s="11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4">
        <v>2019</v>
      </c>
      <c r="B145" s="41" t="s">
        <v>39</v>
      </c>
      <c r="C145" s="26" t="s">
        <v>440</v>
      </c>
      <c r="D145" s="31">
        <v>712</v>
      </c>
      <c r="E145" s="31">
        <v>664</v>
      </c>
      <c r="F145" s="31">
        <v>598</v>
      </c>
      <c r="G145" s="31">
        <v>387</v>
      </c>
      <c r="H145" s="31">
        <v>156</v>
      </c>
      <c r="I145" s="31">
        <v>20</v>
      </c>
      <c r="J145" s="31">
        <v>4</v>
      </c>
      <c r="K145" s="31">
        <v>30</v>
      </c>
      <c r="L145" s="31">
        <v>187</v>
      </c>
      <c r="M145" s="31">
        <v>375</v>
      </c>
      <c r="N145" s="31">
        <v>518</v>
      </c>
      <c r="O145" s="31">
        <v>655</v>
      </c>
      <c r="P145" s="31">
        <f t="shared" si="76"/>
        <v>4306</v>
      </c>
      <c r="Q145" s="83"/>
      <c r="R145" s="11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4">
        <v>2019</v>
      </c>
      <c r="B146" s="25" t="s">
        <v>42</v>
      </c>
      <c r="C146" s="30" t="s">
        <v>30</v>
      </c>
      <c r="D146" s="31">
        <f t="shared" ref="D146:J146" si="78">D143-D139*($Q$4)</f>
        <v>1456.5</v>
      </c>
      <c r="E146" s="31">
        <f t="shared" si="78"/>
        <v>1137</v>
      </c>
      <c r="F146" s="31">
        <f t="shared" si="78"/>
        <v>1092.5</v>
      </c>
      <c r="G146" s="31">
        <f t="shared" si="78"/>
        <v>756</v>
      </c>
      <c r="H146" s="31">
        <f t="shared" si="78"/>
        <v>508.5</v>
      </c>
      <c r="I146" s="31">
        <f t="shared" si="78"/>
        <v>153</v>
      </c>
      <c r="J146" s="31">
        <f t="shared" si="78"/>
        <v>104.5</v>
      </c>
      <c r="K146" s="31">
        <v>0</v>
      </c>
      <c r="L146" s="31">
        <f t="shared" ref="L146:O146" si="79">L143-L139*($Q$4)</f>
        <v>455</v>
      </c>
      <c r="M146" s="31">
        <f t="shared" si="79"/>
        <v>838.5</v>
      </c>
      <c r="N146" s="31">
        <f t="shared" si="79"/>
        <v>1056</v>
      </c>
      <c r="O146" s="31">
        <f t="shared" si="79"/>
        <v>1088.5</v>
      </c>
      <c r="P146" s="31">
        <f t="shared" si="76"/>
        <v>8646</v>
      </c>
      <c r="Q146" s="83"/>
      <c r="R146" s="11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4">
        <v>2019</v>
      </c>
      <c r="B147" s="25" t="s">
        <v>43</v>
      </c>
      <c r="C147" s="30" t="s">
        <v>30</v>
      </c>
      <c r="D147" s="31">
        <f t="shared" ref="D147:H147" si="80">IF(D146&lt;0,0,((D145/D144))*D146)</f>
        <v>1356.1135384615384</v>
      </c>
      <c r="E147" s="31">
        <f t="shared" si="80"/>
        <v>1498.185525291829</v>
      </c>
      <c r="F147" s="31">
        <f t="shared" si="80"/>
        <v>1170.8154121863799</v>
      </c>
      <c r="G147" s="31">
        <f t="shared" si="80"/>
        <v>934.73482428115017</v>
      </c>
      <c r="H147" s="31">
        <f t="shared" si="80"/>
        <v>502.0632911392405</v>
      </c>
      <c r="I147" s="31">
        <f t="shared" ref="I147:K147" si="81">I146</f>
        <v>153</v>
      </c>
      <c r="J147" s="31">
        <f t="shared" si="81"/>
        <v>104.5</v>
      </c>
      <c r="K147" s="31">
        <f t="shared" si="81"/>
        <v>0</v>
      </c>
      <c r="L147" s="31">
        <f t="shared" ref="L147:O147" si="82">IF(L146&lt;0,0,((L145/L144))*L146)</f>
        <v>483.4375</v>
      </c>
      <c r="M147" s="31">
        <f t="shared" si="82"/>
        <v>806.25</v>
      </c>
      <c r="N147" s="31">
        <f t="shared" si="82"/>
        <v>1144.3682008368201</v>
      </c>
      <c r="O147" s="31">
        <f t="shared" si="82"/>
        <v>1397.9754901960785</v>
      </c>
      <c r="P147" s="40">
        <f t="shared" si="76"/>
        <v>9551.4437823930366</v>
      </c>
      <c r="Q147" s="2"/>
      <c r="R147" s="11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12" t="s">
        <v>12</v>
      </c>
      <c r="B149" s="13"/>
      <c r="C149" s="14"/>
      <c r="D149" s="15" t="s">
        <v>13</v>
      </c>
      <c r="E149" s="15" t="s">
        <v>14</v>
      </c>
      <c r="F149" s="15" t="s">
        <v>15</v>
      </c>
      <c r="G149" s="15" t="s">
        <v>16</v>
      </c>
      <c r="H149" s="15" t="s">
        <v>17</v>
      </c>
      <c r="I149" s="15" t="s">
        <v>18</v>
      </c>
      <c r="J149" s="16" t="s">
        <v>19</v>
      </c>
      <c r="K149" s="15" t="s">
        <v>20</v>
      </c>
      <c r="L149" s="15" t="s">
        <v>21</v>
      </c>
      <c r="M149" s="15" t="s">
        <v>22</v>
      </c>
      <c r="N149" s="15" t="s">
        <v>23</v>
      </c>
      <c r="O149" s="15" t="s">
        <v>24</v>
      </c>
      <c r="P149" s="15" t="s">
        <v>25</v>
      </c>
      <c r="Q149" s="2"/>
      <c r="R149" s="9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12"/>
      <c r="B150" s="13"/>
      <c r="C150" s="14"/>
      <c r="D150" s="77">
        <v>31</v>
      </c>
      <c r="E150" s="77">
        <v>29</v>
      </c>
      <c r="F150" s="77">
        <v>31</v>
      </c>
      <c r="G150" s="77">
        <v>30</v>
      </c>
      <c r="H150" s="77">
        <v>31</v>
      </c>
      <c r="I150" s="77">
        <v>30</v>
      </c>
      <c r="J150" s="78">
        <v>31</v>
      </c>
      <c r="K150" s="77">
        <v>31</v>
      </c>
      <c r="L150" s="77">
        <v>30</v>
      </c>
      <c r="M150" s="77">
        <v>31</v>
      </c>
      <c r="N150" s="77">
        <v>30</v>
      </c>
      <c r="O150" s="77">
        <v>31</v>
      </c>
      <c r="P150" s="15">
        <f>SUM(D150:O150)</f>
        <v>366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4">
        <v>2020</v>
      </c>
      <c r="B151" s="25" t="s">
        <v>27</v>
      </c>
      <c r="C151" s="26" t="s">
        <v>441</v>
      </c>
      <c r="D151" s="27">
        <v>1.4</v>
      </c>
      <c r="E151" s="27">
        <v>0</v>
      </c>
      <c r="F151" s="27">
        <v>1.1000000000000001</v>
      </c>
      <c r="G151" s="27">
        <v>3.9</v>
      </c>
      <c r="H151" s="27">
        <v>8.5</v>
      </c>
      <c r="I151" s="27">
        <v>17.8</v>
      </c>
      <c r="J151" s="27">
        <v>15.6</v>
      </c>
      <c r="K151" s="27">
        <v>16.100000000000001</v>
      </c>
      <c r="L151" s="27">
        <v>12.4</v>
      </c>
      <c r="M151" s="27">
        <v>7.8</v>
      </c>
      <c r="N151" s="27">
        <v>4.0999999999999996</v>
      </c>
      <c r="O151" s="27">
        <v>0.5</v>
      </c>
      <c r="P151" s="27">
        <f>AVERAGE(D151:O151)</f>
        <v>7.4333333333333336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4">
        <v>2020</v>
      </c>
      <c r="B152" s="25" t="s">
        <v>29</v>
      </c>
      <c r="C152" s="30" t="s">
        <v>30</v>
      </c>
      <c r="D152" s="31">
        <v>857</v>
      </c>
      <c r="E152" s="31">
        <v>796</v>
      </c>
      <c r="F152" s="31">
        <v>806</v>
      </c>
      <c r="G152" s="31">
        <v>592</v>
      </c>
      <c r="H152" s="31">
        <v>493</v>
      </c>
      <c r="I152" s="42">
        <v>220</v>
      </c>
      <c r="J152" s="42">
        <v>217</v>
      </c>
      <c r="K152" s="31">
        <v>217</v>
      </c>
      <c r="L152" s="31">
        <v>390</v>
      </c>
      <c r="M152" s="31">
        <v>578</v>
      </c>
      <c r="N152" s="31">
        <v>693</v>
      </c>
      <c r="O152" s="31">
        <v>879</v>
      </c>
      <c r="P152" s="31">
        <f t="shared" ref="P152:P158" si="83">SUM(D152:O152)</f>
        <v>6738</v>
      </c>
      <c r="Q152" s="2"/>
      <c r="R152" s="11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4">
        <v>2020</v>
      </c>
      <c r="B153" s="25" t="s">
        <v>31</v>
      </c>
      <c r="C153" s="30" t="s">
        <v>30</v>
      </c>
      <c r="D153" s="31">
        <v>680</v>
      </c>
      <c r="E153" s="31">
        <v>656</v>
      </c>
      <c r="F153" s="31">
        <v>696</v>
      </c>
      <c r="G153" s="31">
        <v>562</v>
      </c>
      <c r="H153" s="31">
        <v>492</v>
      </c>
      <c r="I153" s="42">
        <v>283</v>
      </c>
      <c r="J153" s="42">
        <v>286</v>
      </c>
      <c r="K153" s="31">
        <v>269</v>
      </c>
      <c r="L153" s="31">
        <v>393</v>
      </c>
      <c r="M153" s="31">
        <v>499</v>
      </c>
      <c r="N153" s="31">
        <v>602</v>
      </c>
      <c r="O153" s="31">
        <v>683</v>
      </c>
      <c r="P153" s="31">
        <f t="shared" si="83"/>
        <v>6101</v>
      </c>
      <c r="Q153" s="2"/>
      <c r="R153" s="11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4">
        <v>2020</v>
      </c>
      <c r="B154" s="25" t="s">
        <v>32</v>
      </c>
      <c r="C154" s="30" t="s">
        <v>30</v>
      </c>
      <c r="D154" s="31">
        <f t="shared" ref="D154:O154" si="84">SUM(D152:D153)</f>
        <v>1537</v>
      </c>
      <c r="E154" s="31">
        <f t="shared" si="84"/>
        <v>1452</v>
      </c>
      <c r="F154" s="31">
        <f t="shared" si="84"/>
        <v>1502</v>
      </c>
      <c r="G154" s="31">
        <f t="shared" si="84"/>
        <v>1154</v>
      </c>
      <c r="H154" s="31">
        <f t="shared" si="84"/>
        <v>985</v>
      </c>
      <c r="I154" s="31">
        <f t="shared" si="84"/>
        <v>503</v>
      </c>
      <c r="J154" s="31">
        <f t="shared" si="84"/>
        <v>503</v>
      </c>
      <c r="K154" s="31">
        <f t="shared" si="84"/>
        <v>486</v>
      </c>
      <c r="L154" s="31">
        <f t="shared" si="84"/>
        <v>783</v>
      </c>
      <c r="M154" s="31">
        <f t="shared" si="84"/>
        <v>1077</v>
      </c>
      <c r="N154" s="31">
        <f t="shared" si="84"/>
        <v>1295</v>
      </c>
      <c r="O154" s="31">
        <f t="shared" si="84"/>
        <v>1562</v>
      </c>
      <c r="P154" s="40">
        <f t="shared" si="83"/>
        <v>12839</v>
      </c>
      <c r="Q154" s="2"/>
      <c r="R154" s="11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4">
        <v>2020</v>
      </c>
      <c r="B155" s="41" t="s">
        <v>36</v>
      </c>
      <c r="C155" s="26" t="s">
        <v>442</v>
      </c>
      <c r="D155" s="31">
        <f>500/1.02</f>
        <v>490.19607843137254</v>
      </c>
      <c r="E155" s="31">
        <f>509/1.02</f>
        <v>499.01960784313724</v>
      </c>
      <c r="F155" s="31">
        <f>496/1.02</f>
        <v>486.27450980392155</v>
      </c>
      <c r="G155" s="31">
        <f>403/1.02</f>
        <v>395.09803921568624</v>
      </c>
      <c r="H155" s="31">
        <f>199/1.02</f>
        <v>195.09803921568627</v>
      </c>
      <c r="I155" s="31">
        <v>0</v>
      </c>
      <c r="J155" s="31">
        <f>5/1.02</f>
        <v>4.9019607843137258</v>
      </c>
      <c r="K155" s="31">
        <f>11/1.02</f>
        <v>10.784313725490195</v>
      </c>
      <c r="L155" s="31">
        <v>94</v>
      </c>
      <c r="M155" s="31">
        <v>279</v>
      </c>
      <c r="N155" s="31">
        <v>393</v>
      </c>
      <c r="O155" s="42">
        <f>531/1.02</f>
        <v>520.58823529411768</v>
      </c>
      <c r="P155" s="31">
        <f t="shared" si="83"/>
        <v>3367.9607843137255</v>
      </c>
      <c r="Q155" s="2"/>
      <c r="R155" s="11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4">
        <v>2020</v>
      </c>
      <c r="B156" s="41" t="s">
        <v>39</v>
      </c>
      <c r="C156" s="26" t="s">
        <v>443</v>
      </c>
      <c r="D156" s="31">
        <v>712</v>
      </c>
      <c r="E156" s="31">
        <v>664</v>
      </c>
      <c r="F156" s="31">
        <v>598</v>
      </c>
      <c r="G156" s="31">
        <v>387</v>
      </c>
      <c r="H156" s="31">
        <v>156</v>
      </c>
      <c r="I156" s="31">
        <v>20</v>
      </c>
      <c r="J156" s="31">
        <v>4</v>
      </c>
      <c r="K156" s="31">
        <v>30</v>
      </c>
      <c r="L156" s="31">
        <v>187</v>
      </c>
      <c r="M156" s="31">
        <v>375</v>
      </c>
      <c r="N156" s="31">
        <v>518</v>
      </c>
      <c r="O156" s="31">
        <v>655</v>
      </c>
      <c r="P156" s="31">
        <f t="shared" si="83"/>
        <v>4306</v>
      </c>
      <c r="Q156" s="83"/>
      <c r="R156" s="11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4">
        <v>2020</v>
      </c>
      <c r="B157" s="25" t="s">
        <v>42</v>
      </c>
      <c r="C157" s="30" t="s">
        <v>30</v>
      </c>
      <c r="D157" s="31">
        <f t="shared" ref="D157:J157" si="85">D154-D150*($Q$4)</f>
        <v>1118.5</v>
      </c>
      <c r="E157" s="31">
        <f t="shared" si="85"/>
        <v>1060.5</v>
      </c>
      <c r="F157" s="31">
        <f t="shared" si="85"/>
        <v>1083.5</v>
      </c>
      <c r="G157" s="31">
        <f t="shared" si="85"/>
        <v>749</v>
      </c>
      <c r="H157" s="31">
        <f t="shared" si="85"/>
        <v>566.5</v>
      </c>
      <c r="I157" s="31">
        <f t="shared" si="85"/>
        <v>98</v>
      </c>
      <c r="J157" s="31">
        <f t="shared" si="85"/>
        <v>84.5</v>
      </c>
      <c r="K157" s="31">
        <v>0</v>
      </c>
      <c r="L157" s="31">
        <f t="shared" ref="L157:O157" si="86">L154-L150*($Q$4)</f>
        <v>378</v>
      </c>
      <c r="M157" s="31">
        <f t="shared" si="86"/>
        <v>658.5</v>
      </c>
      <c r="N157" s="31">
        <f t="shared" si="86"/>
        <v>890</v>
      </c>
      <c r="O157" s="31">
        <f t="shared" si="86"/>
        <v>1143.5</v>
      </c>
      <c r="P157" s="31">
        <f t="shared" si="83"/>
        <v>7830.5</v>
      </c>
      <c r="Q157" s="83"/>
      <c r="R157" s="11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4">
        <v>2020</v>
      </c>
      <c r="B158" s="25" t="s">
        <v>43</v>
      </c>
      <c r="C158" s="30" t="s">
        <v>30</v>
      </c>
      <c r="D158" s="31">
        <f t="shared" ref="D158:H158" si="87">IF(D157&lt;0,0,((D156/D155))*D157)</f>
        <v>1624.59888</v>
      </c>
      <c r="E158" s="31">
        <f t="shared" si="87"/>
        <v>1411.110884086444</v>
      </c>
      <c r="F158" s="31">
        <f t="shared" si="87"/>
        <v>1332.4428629032259</v>
      </c>
      <c r="G158" s="31">
        <f t="shared" si="87"/>
        <v>733.64828784119106</v>
      </c>
      <c r="H158" s="31">
        <f t="shared" si="87"/>
        <v>452.97226130653263</v>
      </c>
      <c r="I158" s="31">
        <f t="shared" ref="I158:K158" si="88">I157</f>
        <v>98</v>
      </c>
      <c r="J158" s="31">
        <f t="shared" si="88"/>
        <v>84.5</v>
      </c>
      <c r="K158" s="31">
        <f t="shared" si="88"/>
        <v>0</v>
      </c>
      <c r="L158" s="31">
        <f t="shared" ref="L158:O158" si="89">IF(L157&lt;0,0,((L156/L155))*L157)</f>
        <v>751.97872340425533</v>
      </c>
      <c r="M158" s="31">
        <f t="shared" si="89"/>
        <v>885.08064516129025</v>
      </c>
      <c r="N158" s="31">
        <f t="shared" si="89"/>
        <v>1173.0788804071246</v>
      </c>
      <c r="O158" s="31">
        <f t="shared" si="89"/>
        <v>1438.7426553672317</v>
      </c>
      <c r="P158" s="40">
        <f t="shared" si="83"/>
        <v>9986.1540804772958</v>
      </c>
      <c r="Q158" s="2"/>
      <c r="R158" s="11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12" t="s">
        <v>12</v>
      </c>
      <c r="B160" s="13"/>
      <c r="C160" s="14"/>
      <c r="D160" s="15" t="s">
        <v>13</v>
      </c>
      <c r="E160" s="15" t="s">
        <v>14</v>
      </c>
      <c r="F160" s="15" t="s">
        <v>15</v>
      </c>
      <c r="G160" s="15" t="s">
        <v>16</v>
      </c>
      <c r="H160" s="15" t="s">
        <v>17</v>
      </c>
      <c r="I160" s="15" t="s">
        <v>18</v>
      </c>
      <c r="J160" s="16" t="s">
        <v>19</v>
      </c>
      <c r="K160" s="15" t="s">
        <v>20</v>
      </c>
      <c r="L160" s="15" t="s">
        <v>21</v>
      </c>
      <c r="M160" s="15" t="s">
        <v>22</v>
      </c>
      <c r="N160" s="15" t="s">
        <v>23</v>
      </c>
      <c r="O160" s="15" t="s">
        <v>24</v>
      </c>
      <c r="P160" s="15" t="s">
        <v>25</v>
      </c>
      <c r="Q160" s="2"/>
      <c r="R160" s="9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12"/>
      <c r="B161" s="13"/>
      <c r="C161" s="14"/>
      <c r="D161" s="77">
        <v>31</v>
      </c>
      <c r="E161" s="77">
        <v>28</v>
      </c>
      <c r="F161" s="77">
        <v>31</v>
      </c>
      <c r="G161" s="77">
        <v>30</v>
      </c>
      <c r="H161" s="77">
        <v>31</v>
      </c>
      <c r="I161" s="77">
        <v>30</v>
      </c>
      <c r="J161" s="78">
        <v>31</v>
      </c>
      <c r="K161" s="77">
        <v>31</v>
      </c>
      <c r="L161" s="77">
        <v>30</v>
      </c>
      <c r="M161" s="77">
        <v>31</v>
      </c>
      <c r="N161" s="77">
        <v>30</v>
      </c>
      <c r="O161" s="77">
        <v>31</v>
      </c>
      <c r="P161" s="15">
        <f>SUM(D161:O161)</f>
        <v>365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4">
        <v>2021</v>
      </c>
      <c r="B162" s="25" t="s">
        <v>27</v>
      </c>
      <c r="C162" s="26" t="s">
        <v>444</v>
      </c>
      <c r="D162" s="27">
        <v>-4.8</v>
      </c>
      <c r="E162" s="27">
        <v>-8.4</v>
      </c>
      <c r="F162" s="27">
        <v>-1.1000000000000001</v>
      </c>
      <c r="G162" s="27">
        <v>4.5</v>
      </c>
      <c r="H162" s="27">
        <v>10.4</v>
      </c>
      <c r="I162" s="27">
        <v>19.2</v>
      </c>
      <c r="J162" s="27">
        <v>20.6</v>
      </c>
      <c r="K162" s="27">
        <v>15.2</v>
      </c>
      <c r="L162" s="27">
        <v>9.1999999999999993</v>
      </c>
      <c r="M162" s="27">
        <v>7.8</v>
      </c>
      <c r="N162" s="27">
        <v>1.1000000000000001</v>
      </c>
      <c r="O162" s="27">
        <v>-6.9</v>
      </c>
      <c r="P162" s="27">
        <f>AVERAGE(D162:O162)</f>
        <v>5.5666666666666664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4">
        <v>2021</v>
      </c>
      <c r="B163" s="25" t="s">
        <v>29</v>
      </c>
      <c r="C163" s="30" t="s">
        <v>30</v>
      </c>
      <c r="D163" s="31">
        <v>955</v>
      </c>
      <c r="E163" s="31">
        <v>881</v>
      </c>
      <c r="F163" s="31">
        <v>817</v>
      </c>
      <c r="G163" s="31">
        <v>593</v>
      </c>
      <c r="H163" s="31">
        <v>425</v>
      </c>
      <c r="I163" s="42">
        <v>183</v>
      </c>
      <c r="J163" s="42">
        <v>187</v>
      </c>
      <c r="K163" s="31">
        <v>250</v>
      </c>
      <c r="L163" s="31">
        <v>442</v>
      </c>
      <c r="M163" s="31">
        <v>557</v>
      </c>
      <c r="N163" s="31">
        <v>733</v>
      </c>
      <c r="O163" s="31">
        <v>985</v>
      </c>
      <c r="P163" s="31">
        <f t="shared" ref="P163:P169" si="90">SUM(D163:O163)</f>
        <v>7008</v>
      </c>
      <c r="Q163" s="2"/>
      <c r="R163" s="11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4">
        <v>2021</v>
      </c>
      <c r="B164" s="25" t="s">
        <v>31</v>
      </c>
      <c r="C164" s="30" t="s">
        <v>30</v>
      </c>
      <c r="D164" s="31">
        <v>754</v>
      </c>
      <c r="E164" s="31">
        <v>701</v>
      </c>
      <c r="F164" s="31">
        <v>682</v>
      </c>
      <c r="G164" s="31">
        <v>616</v>
      </c>
      <c r="H164" s="31">
        <v>474</v>
      </c>
      <c r="I164" s="42">
        <v>249</v>
      </c>
      <c r="J164" s="42">
        <v>242</v>
      </c>
      <c r="K164" s="31">
        <v>269</v>
      </c>
      <c r="L164" s="31">
        <v>442</v>
      </c>
      <c r="M164" s="31">
        <v>522</v>
      </c>
      <c r="N164" s="31">
        <v>601</v>
      </c>
      <c r="O164" s="31">
        <v>767</v>
      </c>
      <c r="P164" s="31">
        <f t="shared" si="90"/>
        <v>6319</v>
      </c>
      <c r="Q164" s="2"/>
      <c r="R164" s="11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4">
        <v>2021</v>
      </c>
      <c r="B165" s="25" t="s">
        <v>32</v>
      </c>
      <c r="C165" s="30" t="s">
        <v>30</v>
      </c>
      <c r="D165" s="31">
        <f t="shared" ref="D165:O165" si="91">SUM(D163:D164)</f>
        <v>1709</v>
      </c>
      <c r="E165" s="31">
        <f t="shared" si="91"/>
        <v>1582</v>
      </c>
      <c r="F165" s="31">
        <f t="shared" si="91"/>
        <v>1499</v>
      </c>
      <c r="G165" s="31">
        <f t="shared" si="91"/>
        <v>1209</v>
      </c>
      <c r="H165" s="31">
        <f t="shared" si="91"/>
        <v>899</v>
      </c>
      <c r="I165" s="31">
        <f t="shared" si="91"/>
        <v>432</v>
      </c>
      <c r="J165" s="31">
        <f t="shared" si="91"/>
        <v>429</v>
      </c>
      <c r="K165" s="31">
        <f t="shared" si="91"/>
        <v>519</v>
      </c>
      <c r="L165" s="31">
        <f t="shared" si="91"/>
        <v>884</v>
      </c>
      <c r="M165" s="31">
        <f t="shared" si="91"/>
        <v>1079</v>
      </c>
      <c r="N165" s="31">
        <f t="shared" si="91"/>
        <v>1334</v>
      </c>
      <c r="O165" s="31">
        <f t="shared" si="91"/>
        <v>1752</v>
      </c>
      <c r="P165" s="40">
        <f t="shared" si="90"/>
        <v>13327</v>
      </c>
      <c r="Q165" s="2"/>
      <c r="R165" s="11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4">
        <v>2021</v>
      </c>
      <c r="B166" s="41" t="s">
        <v>36</v>
      </c>
      <c r="C166" s="26" t="s">
        <v>445</v>
      </c>
      <c r="D166" s="31">
        <f>693/1.02</f>
        <v>679.41176470588232</v>
      </c>
      <c r="E166" s="31">
        <f>722/1.02</f>
        <v>707.84313725490199</v>
      </c>
      <c r="F166" s="31">
        <v>565</v>
      </c>
      <c r="G166" s="31">
        <v>379</v>
      </c>
      <c r="H166" s="31">
        <f>161/1.02</f>
        <v>157.84313725490196</v>
      </c>
      <c r="I166" s="31">
        <v>0</v>
      </c>
      <c r="J166" s="31">
        <v>0</v>
      </c>
      <c r="K166" s="31">
        <v>20</v>
      </c>
      <c r="L166" s="31">
        <f>227/1.02</f>
        <v>222.54901960784312</v>
      </c>
      <c r="M166" s="31">
        <v>299</v>
      </c>
      <c r="N166" s="31">
        <f>488/1.02</f>
        <v>478.43137254901961</v>
      </c>
      <c r="O166" s="42">
        <f>764/1.02</f>
        <v>749.01960784313724</v>
      </c>
      <c r="P166" s="31">
        <f t="shared" si="90"/>
        <v>4258.0980392156862</v>
      </c>
      <c r="Q166" s="2"/>
      <c r="R166" s="11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4">
        <v>2021</v>
      </c>
      <c r="B167" s="41" t="s">
        <v>39</v>
      </c>
      <c r="C167" s="26" t="s">
        <v>446</v>
      </c>
      <c r="D167" s="31">
        <v>712</v>
      </c>
      <c r="E167" s="31">
        <v>664</v>
      </c>
      <c r="F167" s="31">
        <v>598</v>
      </c>
      <c r="G167" s="31">
        <v>387</v>
      </c>
      <c r="H167" s="31">
        <v>156</v>
      </c>
      <c r="I167" s="31">
        <v>20</v>
      </c>
      <c r="J167" s="31">
        <v>4</v>
      </c>
      <c r="K167" s="31">
        <v>30</v>
      </c>
      <c r="L167" s="31">
        <v>187</v>
      </c>
      <c r="M167" s="31">
        <v>375</v>
      </c>
      <c r="N167" s="31">
        <v>518</v>
      </c>
      <c r="O167" s="31">
        <v>655</v>
      </c>
      <c r="P167" s="31">
        <f t="shared" si="90"/>
        <v>4306</v>
      </c>
      <c r="Q167" s="83"/>
      <c r="R167" s="11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4">
        <v>2021</v>
      </c>
      <c r="B168" s="25" t="s">
        <v>42</v>
      </c>
      <c r="C168" s="30" t="s">
        <v>30</v>
      </c>
      <c r="D168" s="31">
        <f t="shared" ref="D168:J168" si="92">D165-D161*($Q$4)</f>
        <v>1290.5</v>
      </c>
      <c r="E168" s="31">
        <f t="shared" si="92"/>
        <v>1204</v>
      </c>
      <c r="F168" s="31">
        <f t="shared" si="92"/>
        <v>1080.5</v>
      </c>
      <c r="G168" s="31">
        <f t="shared" si="92"/>
        <v>804</v>
      </c>
      <c r="H168" s="31">
        <f t="shared" si="92"/>
        <v>480.5</v>
      </c>
      <c r="I168" s="31">
        <f t="shared" si="92"/>
        <v>27</v>
      </c>
      <c r="J168" s="31">
        <f t="shared" si="92"/>
        <v>10.5</v>
      </c>
      <c r="K168" s="31">
        <v>0</v>
      </c>
      <c r="L168" s="31">
        <f t="shared" ref="L168:O168" si="93">L165-L161*($Q$4)</f>
        <v>479</v>
      </c>
      <c r="M168" s="31">
        <f t="shared" si="93"/>
        <v>660.5</v>
      </c>
      <c r="N168" s="31">
        <f t="shared" si="93"/>
        <v>929</v>
      </c>
      <c r="O168" s="31">
        <f t="shared" si="93"/>
        <v>1333.5</v>
      </c>
      <c r="P168" s="31">
        <f t="shared" si="90"/>
        <v>8299</v>
      </c>
      <c r="Q168" s="83"/>
      <c r="R168" s="11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4">
        <v>2021</v>
      </c>
      <c r="B169" s="25" t="s">
        <v>43</v>
      </c>
      <c r="C169" s="30" t="s">
        <v>30</v>
      </c>
      <c r="D169" s="31">
        <f t="shared" ref="D169:H169" si="94">IF(D168&lt;0,0,((D167/D166))*D168)</f>
        <v>1352.3993073593074</v>
      </c>
      <c r="E169" s="31">
        <f t="shared" si="94"/>
        <v>1129.4253739612188</v>
      </c>
      <c r="F169" s="31">
        <f t="shared" si="94"/>
        <v>1143.608849557522</v>
      </c>
      <c r="G169" s="31">
        <f t="shared" si="94"/>
        <v>820.9709762532982</v>
      </c>
      <c r="H169" s="31">
        <f t="shared" si="94"/>
        <v>474.88919254658384</v>
      </c>
      <c r="I169" s="31">
        <f t="shared" ref="I169:K169" si="95">I168</f>
        <v>27</v>
      </c>
      <c r="J169" s="31">
        <f t="shared" si="95"/>
        <v>10.5</v>
      </c>
      <c r="K169" s="31">
        <f t="shared" si="95"/>
        <v>0</v>
      </c>
      <c r="L169" s="31">
        <f t="shared" ref="L169:O169" si="96">IF(L168&lt;0,0,((L167/L166))*L168)</f>
        <v>402.48660792951546</v>
      </c>
      <c r="M169" s="31">
        <f t="shared" si="96"/>
        <v>828.38628762541805</v>
      </c>
      <c r="N169" s="31">
        <f t="shared" si="96"/>
        <v>1005.8328688524589</v>
      </c>
      <c r="O169" s="31">
        <f t="shared" si="96"/>
        <v>1166.1143324607331</v>
      </c>
      <c r="P169" s="40">
        <f t="shared" si="90"/>
        <v>8361.6137965460566</v>
      </c>
      <c r="Q169" s="2"/>
      <c r="R169" s="11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89"/>
      <c r="B170" s="2"/>
      <c r="C170" s="2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91"/>
      <c r="Q170" s="2"/>
      <c r="R170" s="11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12" t="s">
        <v>12</v>
      </c>
      <c r="B171" s="13"/>
      <c r="C171" s="14"/>
      <c r="D171" s="15" t="s">
        <v>13</v>
      </c>
      <c r="E171" s="15" t="s">
        <v>14</v>
      </c>
      <c r="F171" s="15" t="s">
        <v>15</v>
      </c>
      <c r="G171" s="15" t="s">
        <v>16</v>
      </c>
      <c r="H171" s="15" t="s">
        <v>17</v>
      </c>
      <c r="I171" s="15" t="s">
        <v>18</v>
      </c>
      <c r="J171" s="16" t="s">
        <v>19</v>
      </c>
      <c r="K171" s="15" t="s">
        <v>20</v>
      </c>
      <c r="L171" s="15" t="s">
        <v>21</v>
      </c>
      <c r="M171" s="15" t="s">
        <v>22</v>
      </c>
      <c r="N171" s="15" t="s">
        <v>23</v>
      </c>
      <c r="O171" s="15" t="s">
        <v>24</v>
      </c>
      <c r="P171" s="15" t="s">
        <v>25</v>
      </c>
      <c r="Q171" s="2"/>
      <c r="R171" s="11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12"/>
      <c r="B172" s="13"/>
      <c r="C172" s="14"/>
      <c r="D172" s="77">
        <v>31</v>
      </c>
      <c r="E172" s="77">
        <v>28</v>
      </c>
      <c r="F172" s="77">
        <v>31</v>
      </c>
      <c r="G172" s="77">
        <v>30</v>
      </c>
      <c r="H172" s="77">
        <v>31</v>
      </c>
      <c r="I172" s="77">
        <v>30</v>
      </c>
      <c r="J172" s="78">
        <v>31</v>
      </c>
      <c r="K172" s="77">
        <v>31</v>
      </c>
      <c r="L172" s="77">
        <v>30</v>
      </c>
      <c r="M172" s="77">
        <v>31</v>
      </c>
      <c r="N172" s="77">
        <v>30</v>
      </c>
      <c r="O172" s="77">
        <v>31</v>
      </c>
      <c r="P172" s="15">
        <f>SUM(D172:O172)</f>
        <v>365</v>
      </c>
      <c r="Q172" s="2"/>
      <c r="R172" s="11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4">
        <v>2022</v>
      </c>
      <c r="B173" s="25" t="s">
        <v>27</v>
      </c>
      <c r="C173" s="26" t="s">
        <v>447</v>
      </c>
      <c r="D173" s="27">
        <v>-3.5</v>
      </c>
      <c r="E173" s="27">
        <v>-2.5</v>
      </c>
      <c r="F173" s="27">
        <v>-0.3</v>
      </c>
      <c r="G173" s="27">
        <v>3.1</v>
      </c>
      <c r="H173" s="27">
        <v>9.8000000000000007</v>
      </c>
      <c r="I173" s="27">
        <v>16.8</v>
      </c>
      <c r="J173" s="27">
        <v>17.2</v>
      </c>
      <c r="K173" s="27">
        <v>18.100000000000001</v>
      </c>
      <c r="L173" s="27">
        <v>8.1999999999999993</v>
      </c>
      <c r="M173" s="27">
        <v>6.8</v>
      </c>
      <c r="N173" s="27">
        <v>1.8</v>
      </c>
      <c r="O173" s="27">
        <v>-4.4000000000000004</v>
      </c>
      <c r="P173" s="27">
        <f>AVERAGE(D173:O173)</f>
        <v>5.9249999999999998</v>
      </c>
      <c r="Q173" s="2"/>
      <c r="R173" s="11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4">
        <v>2022</v>
      </c>
      <c r="B174" s="25" t="s">
        <v>29</v>
      </c>
      <c r="C174" s="30" t="s">
        <v>30</v>
      </c>
      <c r="D174" s="31">
        <v>974</v>
      </c>
      <c r="E174" s="31">
        <v>839</v>
      </c>
      <c r="F174" s="31">
        <v>770</v>
      </c>
      <c r="G174" s="31">
        <v>634</v>
      </c>
      <c r="H174" s="31">
        <v>441</v>
      </c>
      <c r="I174" s="42">
        <v>228</v>
      </c>
      <c r="J174" s="42">
        <v>170</v>
      </c>
      <c r="K174" s="31">
        <v>167</v>
      </c>
      <c r="L174" s="31">
        <v>427</v>
      </c>
      <c r="M174" s="31">
        <v>517</v>
      </c>
      <c r="N174" s="31">
        <v>667</v>
      </c>
      <c r="O174" s="31">
        <v>847</v>
      </c>
      <c r="P174" s="31">
        <f t="shared" ref="P174:P180" si="97">SUM(D174:O174)</f>
        <v>6681</v>
      </c>
      <c r="Q174" s="2"/>
      <c r="R174" s="11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4">
        <v>2022</v>
      </c>
      <c r="B175" s="25" t="s">
        <v>31</v>
      </c>
      <c r="C175" s="30" t="s">
        <v>30</v>
      </c>
      <c r="D175" s="31">
        <v>759</v>
      </c>
      <c r="E175" s="31">
        <v>664</v>
      </c>
      <c r="F175" s="31">
        <v>665</v>
      </c>
      <c r="G175" s="31">
        <v>604</v>
      </c>
      <c r="H175" s="31">
        <v>501</v>
      </c>
      <c r="I175" s="42">
        <v>313</v>
      </c>
      <c r="J175" s="42">
        <v>249</v>
      </c>
      <c r="K175" s="31">
        <v>241</v>
      </c>
      <c r="L175" s="31">
        <v>430</v>
      </c>
      <c r="M175" s="31">
        <v>514</v>
      </c>
      <c r="N175" s="31">
        <v>558</v>
      </c>
      <c r="O175" s="31">
        <v>676</v>
      </c>
      <c r="P175" s="31">
        <f t="shared" si="97"/>
        <v>6174</v>
      </c>
      <c r="Q175" s="2"/>
      <c r="R175" s="11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4">
        <v>2022</v>
      </c>
      <c r="B176" s="25" t="s">
        <v>32</v>
      </c>
      <c r="C176" s="30" t="s">
        <v>30</v>
      </c>
      <c r="D176" s="31">
        <f t="shared" ref="D176:O176" si="98">SUM(D174:D175)</f>
        <v>1733</v>
      </c>
      <c r="E176" s="31">
        <f t="shared" si="98"/>
        <v>1503</v>
      </c>
      <c r="F176" s="31">
        <f t="shared" si="98"/>
        <v>1435</v>
      </c>
      <c r="G176" s="31">
        <f t="shared" si="98"/>
        <v>1238</v>
      </c>
      <c r="H176" s="31">
        <f t="shared" si="98"/>
        <v>942</v>
      </c>
      <c r="I176" s="31">
        <f t="shared" si="98"/>
        <v>541</v>
      </c>
      <c r="J176" s="31">
        <f t="shared" si="98"/>
        <v>419</v>
      </c>
      <c r="K176" s="31">
        <f t="shared" si="98"/>
        <v>408</v>
      </c>
      <c r="L176" s="31">
        <f t="shared" si="98"/>
        <v>857</v>
      </c>
      <c r="M176" s="31">
        <f t="shared" si="98"/>
        <v>1031</v>
      </c>
      <c r="N176" s="31">
        <f t="shared" si="98"/>
        <v>1225</v>
      </c>
      <c r="O176" s="31">
        <f t="shared" si="98"/>
        <v>1523</v>
      </c>
      <c r="P176" s="40">
        <f t="shared" si="97"/>
        <v>12855</v>
      </c>
      <c r="Q176" s="2"/>
      <c r="R176" s="11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4">
        <v>2022</v>
      </c>
      <c r="B177" s="41" t="s">
        <v>36</v>
      </c>
      <c r="C177" s="26" t="s">
        <v>448</v>
      </c>
      <c r="D177" s="31">
        <v>659</v>
      </c>
      <c r="E177" s="31">
        <f>558/1.02</f>
        <v>547.05882352941171</v>
      </c>
      <c r="F177" s="31">
        <v>537</v>
      </c>
      <c r="G177" s="31">
        <v>412</v>
      </c>
      <c r="H177" s="31">
        <v>142</v>
      </c>
      <c r="I177" s="31">
        <v>0</v>
      </c>
      <c r="J177" s="31">
        <v>0</v>
      </c>
      <c r="K177" s="31">
        <v>0</v>
      </c>
      <c r="L177" s="31">
        <v>228</v>
      </c>
      <c r="M177" s="31">
        <v>315</v>
      </c>
      <c r="N177" s="31">
        <v>461</v>
      </c>
      <c r="O177" s="42">
        <v>649</v>
      </c>
      <c r="P177" s="31">
        <f t="shared" si="97"/>
        <v>3950.0588235294117</v>
      </c>
      <c r="Q177" s="2"/>
      <c r="R177" s="11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4">
        <v>2022</v>
      </c>
      <c r="B178" s="41" t="s">
        <v>39</v>
      </c>
      <c r="C178" s="26" t="s">
        <v>449</v>
      </c>
      <c r="D178" s="31">
        <v>712</v>
      </c>
      <c r="E178" s="31">
        <v>664</v>
      </c>
      <c r="F178" s="31">
        <v>598</v>
      </c>
      <c r="G178" s="31">
        <v>387</v>
      </c>
      <c r="H178" s="31">
        <v>156</v>
      </c>
      <c r="I178" s="31">
        <v>20</v>
      </c>
      <c r="J178" s="31">
        <v>4</v>
      </c>
      <c r="K178" s="31">
        <v>30</v>
      </c>
      <c r="L178" s="31">
        <v>187</v>
      </c>
      <c r="M178" s="31">
        <v>375</v>
      </c>
      <c r="N178" s="31">
        <v>518</v>
      </c>
      <c r="O178" s="31">
        <v>655</v>
      </c>
      <c r="P178" s="31">
        <f t="shared" si="97"/>
        <v>4306</v>
      </c>
      <c r="Q178" s="83"/>
      <c r="R178" s="11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4">
        <v>2022</v>
      </c>
      <c r="B179" s="25" t="s">
        <v>42</v>
      </c>
      <c r="C179" s="30" t="s">
        <v>30</v>
      </c>
      <c r="D179" s="31">
        <f t="shared" ref="D179:O179" si="99">D176-D172*($Q$4)</f>
        <v>1314.5</v>
      </c>
      <c r="E179" s="31">
        <f t="shared" si="99"/>
        <v>1125</v>
      </c>
      <c r="F179" s="31">
        <f t="shared" si="99"/>
        <v>1016.5</v>
      </c>
      <c r="G179" s="31">
        <f t="shared" si="99"/>
        <v>833</v>
      </c>
      <c r="H179" s="31">
        <f t="shared" si="99"/>
        <v>523.5</v>
      </c>
      <c r="I179" s="31">
        <f t="shared" si="99"/>
        <v>136</v>
      </c>
      <c r="J179" s="31">
        <f t="shared" si="99"/>
        <v>0.5</v>
      </c>
      <c r="K179" s="31">
        <f t="shared" si="99"/>
        <v>-10.5</v>
      </c>
      <c r="L179" s="31">
        <f t="shared" si="99"/>
        <v>452</v>
      </c>
      <c r="M179" s="31">
        <f t="shared" si="99"/>
        <v>612.5</v>
      </c>
      <c r="N179" s="31">
        <f t="shared" si="99"/>
        <v>820</v>
      </c>
      <c r="O179" s="31">
        <f t="shared" si="99"/>
        <v>1104.5</v>
      </c>
      <c r="P179" s="31">
        <f t="shared" si="97"/>
        <v>7927.5</v>
      </c>
      <c r="Q179" s="83"/>
      <c r="R179" s="11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4">
        <v>2022</v>
      </c>
      <c r="B180" s="25" t="s">
        <v>43</v>
      </c>
      <c r="C180" s="30" t="s">
        <v>30</v>
      </c>
      <c r="D180" s="31">
        <f t="shared" ref="D180:H180" si="100">IF(D179&lt;0,0,((D178/D177))*D179)</f>
        <v>1420.2185128983308</v>
      </c>
      <c r="E180" s="31">
        <f t="shared" si="100"/>
        <v>1365.483870967742</v>
      </c>
      <c r="F180" s="31">
        <f t="shared" si="100"/>
        <v>1131.9683426443203</v>
      </c>
      <c r="G180" s="31">
        <f t="shared" si="100"/>
        <v>782.45388349514565</v>
      </c>
      <c r="H180" s="31">
        <f t="shared" si="100"/>
        <v>575.11267605633805</v>
      </c>
      <c r="I180" s="31">
        <f t="shared" ref="I180:K180" si="101">I179</f>
        <v>136</v>
      </c>
      <c r="J180" s="31">
        <f t="shared" si="101"/>
        <v>0.5</v>
      </c>
      <c r="K180" s="31">
        <f t="shared" si="101"/>
        <v>-10.5</v>
      </c>
      <c r="L180" s="31">
        <f t="shared" ref="L180:O180" si="102">IF(L179&lt;0,0,((L178/L177))*L179)</f>
        <v>370.71929824561403</v>
      </c>
      <c r="M180" s="31">
        <f t="shared" si="102"/>
        <v>729.16666666666663</v>
      </c>
      <c r="N180" s="31">
        <f t="shared" si="102"/>
        <v>921.38828633405637</v>
      </c>
      <c r="O180" s="31">
        <f t="shared" si="102"/>
        <v>1114.711093990755</v>
      </c>
      <c r="P180" s="40">
        <f t="shared" si="97"/>
        <v>8537.2226312989678</v>
      </c>
      <c r="Q180" s="2"/>
      <c r="R180" s="11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89"/>
      <c r="B181" s="2"/>
      <c r="C181" s="2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91"/>
      <c r="Q181" s="2"/>
      <c r="R181" s="11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12" t="s">
        <v>12</v>
      </c>
      <c r="B182" s="13"/>
      <c r="C182" s="14"/>
      <c r="D182" s="15" t="s">
        <v>13</v>
      </c>
      <c r="E182" s="15" t="s">
        <v>14</v>
      </c>
      <c r="F182" s="15" t="s">
        <v>15</v>
      </c>
      <c r="G182" s="15" t="s">
        <v>16</v>
      </c>
      <c r="H182" s="15" t="s">
        <v>17</v>
      </c>
      <c r="I182" s="15" t="s">
        <v>18</v>
      </c>
      <c r="J182" s="16" t="s">
        <v>19</v>
      </c>
      <c r="K182" s="15" t="s">
        <v>20</v>
      </c>
      <c r="L182" s="15" t="s">
        <v>21</v>
      </c>
      <c r="M182" s="15" t="s">
        <v>22</v>
      </c>
      <c r="N182" s="15" t="s">
        <v>23</v>
      </c>
      <c r="O182" s="15" t="s">
        <v>24</v>
      </c>
      <c r="P182" s="15" t="s">
        <v>25</v>
      </c>
      <c r="Q182" s="2"/>
      <c r="R182" s="9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12"/>
      <c r="B183" s="13"/>
      <c r="C183" s="14"/>
      <c r="D183" s="77">
        <v>31</v>
      </c>
      <c r="E183" s="77">
        <v>28</v>
      </c>
      <c r="F183" s="77">
        <v>31</v>
      </c>
      <c r="G183" s="77">
        <v>30</v>
      </c>
      <c r="H183" s="77">
        <v>31</v>
      </c>
      <c r="I183" s="77">
        <v>30</v>
      </c>
      <c r="J183" s="78">
        <v>31</v>
      </c>
      <c r="K183" s="77">
        <v>31</v>
      </c>
      <c r="L183" s="77">
        <v>30</v>
      </c>
      <c r="M183" s="77">
        <v>31</v>
      </c>
      <c r="N183" s="77">
        <v>30</v>
      </c>
      <c r="O183" s="77">
        <v>31</v>
      </c>
      <c r="P183" s="15">
        <f>SUM(D183:O183)</f>
        <v>365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4">
        <v>2023</v>
      </c>
      <c r="B184" s="25" t="s">
        <v>27</v>
      </c>
      <c r="C184" s="26" t="s">
        <v>450</v>
      </c>
      <c r="D184" s="27">
        <v>-2.2000000000000002</v>
      </c>
      <c r="E184" s="27">
        <v>-2.9</v>
      </c>
      <c r="F184" s="27">
        <v>-2.5</v>
      </c>
      <c r="G184" s="27">
        <v>4.9000000000000004</v>
      </c>
      <c r="H184" s="27">
        <v>10.3</v>
      </c>
      <c r="I184" s="27">
        <v>15.6</v>
      </c>
      <c r="J184" s="27">
        <v>16.2</v>
      </c>
      <c r="K184" s="27">
        <v>16.5</v>
      </c>
      <c r="L184" s="27">
        <v>14.1</v>
      </c>
      <c r="M184" s="27">
        <v>3.5</v>
      </c>
      <c r="N184" s="27">
        <v>-1.1000000000000001</v>
      </c>
      <c r="O184" s="27">
        <v>-5.7</v>
      </c>
      <c r="P184" s="27">
        <f>AVERAGE(D184:O184)</f>
        <v>5.5583333333333336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4">
        <v>2023</v>
      </c>
      <c r="B185" s="25" t="s">
        <v>29</v>
      </c>
      <c r="C185" s="30" t="s">
        <v>30</v>
      </c>
      <c r="D185" s="31">
        <v>828</v>
      </c>
      <c r="E185" s="31">
        <v>747</v>
      </c>
      <c r="F185" s="31">
        <v>745</v>
      </c>
      <c r="G185" s="31">
        <v>525</v>
      </c>
      <c r="H185" s="31">
        <v>315</v>
      </c>
      <c r="I185" s="42">
        <v>202</v>
      </c>
      <c r="J185" s="42">
        <v>164</v>
      </c>
      <c r="K185" s="31">
        <v>189</v>
      </c>
      <c r="L185" s="31">
        <v>221</v>
      </c>
      <c r="M185" s="31">
        <v>627</v>
      </c>
      <c r="N185" s="31">
        <v>802</v>
      </c>
      <c r="O185" s="31">
        <v>926</v>
      </c>
      <c r="P185" s="31">
        <f t="shared" ref="P185:P188" si="103">SUM(D185:O185)</f>
        <v>6291</v>
      </c>
      <c r="Q185" s="2"/>
      <c r="R185" s="11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4">
        <v>2023</v>
      </c>
      <c r="B186" s="25" t="s">
        <v>31</v>
      </c>
      <c r="C186" s="30" t="s">
        <v>30</v>
      </c>
      <c r="D186" s="31">
        <v>648</v>
      </c>
      <c r="E186" s="31">
        <v>594</v>
      </c>
      <c r="F186" s="31">
        <v>621</v>
      </c>
      <c r="G186" s="31">
        <v>564</v>
      </c>
      <c r="H186" s="31">
        <v>564</v>
      </c>
      <c r="I186" s="42">
        <v>272</v>
      </c>
      <c r="J186" s="42">
        <v>242</v>
      </c>
      <c r="K186" s="31">
        <v>265</v>
      </c>
      <c r="L186" s="31">
        <v>288</v>
      </c>
      <c r="M186" s="31">
        <v>578</v>
      </c>
      <c r="N186" s="31">
        <v>614</v>
      </c>
      <c r="O186" s="31">
        <v>732</v>
      </c>
      <c r="P186" s="31">
        <f t="shared" si="103"/>
        <v>5982</v>
      </c>
      <c r="Q186" s="2"/>
      <c r="R186" s="11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4">
        <v>2023</v>
      </c>
      <c r="B187" s="25" t="s">
        <v>32</v>
      </c>
      <c r="C187" s="30" t="s">
        <v>30</v>
      </c>
      <c r="D187" s="31">
        <f t="shared" ref="D187:O187" si="104">SUM(D185:D186)</f>
        <v>1476</v>
      </c>
      <c r="E187" s="31">
        <f t="shared" si="104"/>
        <v>1341</v>
      </c>
      <c r="F187" s="31">
        <f t="shared" si="104"/>
        <v>1366</v>
      </c>
      <c r="G187" s="31">
        <f t="shared" si="104"/>
        <v>1089</v>
      </c>
      <c r="H187" s="31">
        <f t="shared" si="104"/>
        <v>879</v>
      </c>
      <c r="I187" s="31">
        <f t="shared" si="104"/>
        <v>474</v>
      </c>
      <c r="J187" s="31">
        <f t="shared" si="104"/>
        <v>406</v>
      </c>
      <c r="K187" s="31">
        <f t="shared" si="104"/>
        <v>454</v>
      </c>
      <c r="L187" s="31">
        <f t="shared" si="104"/>
        <v>509</v>
      </c>
      <c r="M187" s="31">
        <f t="shared" si="104"/>
        <v>1205</v>
      </c>
      <c r="N187" s="31">
        <f t="shared" si="104"/>
        <v>1416</v>
      </c>
      <c r="O187" s="31">
        <f t="shared" si="104"/>
        <v>1658</v>
      </c>
      <c r="P187" s="40">
        <f t="shared" si="103"/>
        <v>12273</v>
      </c>
      <c r="Q187" s="2"/>
      <c r="R187" s="11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4">
        <v>2023</v>
      </c>
      <c r="B188" s="41" t="s">
        <v>36</v>
      </c>
      <c r="C188" s="26" t="s">
        <v>451</v>
      </c>
      <c r="D188" s="31">
        <v>590</v>
      </c>
      <c r="E188" s="31">
        <v>558</v>
      </c>
      <c r="F188" s="31">
        <v>595</v>
      </c>
      <c r="G188" s="31">
        <v>307</v>
      </c>
      <c r="H188" s="31">
        <v>121</v>
      </c>
      <c r="I188" s="31">
        <v>37</v>
      </c>
      <c r="J188" s="31">
        <v>0</v>
      </c>
      <c r="K188" s="31">
        <v>0</v>
      </c>
      <c r="L188" s="31">
        <v>25</v>
      </c>
      <c r="M188" s="31">
        <v>413</v>
      </c>
      <c r="N188" s="31">
        <v>543</v>
      </c>
      <c r="O188" s="42">
        <v>702</v>
      </c>
      <c r="P188" s="31">
        <f t="shared" si="103"/>
        <v>3891</v>
      </c>
      <c r="Q188" s="2"/>
      <c r="R188" s="11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4">
        <v>2023</v>
      </c>
      <c r="B189" s="41" t="s">
        <v>39</v>
      </c>
      <c r="C189" s="26" t="s">
        <v>452</v>
      </c>
      <c r="D189" s="31">
        <v>693</v>
      </c>
      <c r="E189" s="31">
        <v>641</v>
      </c>
      <c r="F189" s="31">
        <v>588</v>
      </c>
      <c r="G189" s="31">
        <v>379</v>
      </c>
      <c r="H189" s="31">
        <v>154</v>
      </c>
      <c r="I189" s="31">
        <v>19</v>
      </c>
      <c r="J189" s="31">
        <v>4</v>
      </c>
      <c r="K189" s="31">
        <v>21</v>
      </c>
      <c r="L189" s="31">
        <v>165</v>
      </c>
      <c r="M189" s="31">
        <v>378</v>
      </c>
      <c r="N189" s="31">
        <v>494</v>
      </c>
      <c r="O189" s="31">
        <v>619</v>
      </c>
      <c r="P189" s="31">
        <v>4155</v>
      </c>
      <c r="Q189" s="83"/>
      <c r="R189" s="11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4">
        <v>2023</v>
      </c>
      <c r="B190" s="25" t="s">
        <v>42</v>
      </c>
      <c r="C190" s="30" t="s">
        <v>30</v>
      </c>
      <c r="D190" s="31">
        <f t="shared" ref="D190:O190" si="105">D187-D183*($Q$4)</f>
        <v>1057.5</v>
      </c>
      <c r="E190" s="31">
        <f t="shared" si="105"/>
        <v>963</v>
      </c>
      <c r="F190" s="31">
        <f t="shared" si="105"/>
        <v>947.5</v>
      </c>
      <c r="G190" s="31">
        <f t="shared" si="105"/>
        <v>684</v>
      </c>
      <c r="H190" s="31">
        <f t="shared" si="105"/>
        <v>460.5</v>
      </c>
      <c r="I190" s="31">
        <f t="shared" si="105"/>
        <v>69</v>
      </c>
      <c r="J190" s="31">
        <f t="shared" si="105"/>
        <v>-12.5</v>
      </c>
      <c r="K190" s="31">
        <f t="shared" si="105"/>
        <v>35.5</v>
      </c>
      <c r="L190" s="31">
        <f t="shared" si="105"/>
        <v>104</v>
      </c>
      <c r="M190" s="31">
        <f t="shared" si="105"/>
        <v>786.5</v>
      </c>
      <c r="N190" s="31">
        <f t="shared" si="105"/>
        <v>1011</v>
      </c>
      <c r="O190" s="31">
        <f t="shared" si="105"/>
        <v>1239.5</v>
      </c>
      <c r="P190" s="31">
        <f t="shared" ref="P190:P191" si="106">SUM(D190:O190)</f>
        <v>7345.5</v>
      </c>
      <c r="Q190" s="83"/>
      <c r="R190" s="11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4">
        <v>2023</v>
      </c>
      <c r="B191" s="25" t="s">
        <v>43</v>
      </c>
      <c r="C191" s="30" t="s">
        <v>30</v>
      </c>
      <c r="D191" s="31">
        <f t="shared" ref="D191:H191" si="107">IF(D190&lt;0,0,((D189/D188))*D190)</f>
        <v>1242.1144067796611</v>
      </c>
      <c r="E191" s="31">
        <f t="shared" si="107"/>
        <v>1106.241935483871</v>
      </c>
      <c r="F191" s="31">
        <f t="shared" si="107"/>
        <v>936.35294117647061</v>
      </c>
      <c r="G191" s="31">
        <f t="shared" si="107"/>
        <v>844.41693811074924</v>
      </c>
      <c r="H191" s="31">
        <f t="shared" si="107"/>
        <v>586.09090909090912</v>
      </c>
      <c r="I191" s="31">
        <f t="shared" ref="I191:K191" si="108">I190</f>
        <v>69</v>
      </c>
      <c r="J191" s="31">
        <f t="shared" si="108"/>
        <v>-12.5</v>
      </c>
      <c r="K191" s="31">
        <f t="shared" si="108"/>
        <v>35.5</v>
      </c>
      <c r="L191" s="31">
        <f t="shared" ref="L191:O191" si="109">IF(L190&lt;0,0,((L189/L188))*L190)</f>
        <v>686.4</v>
      </c>
      <c r="M191" s="31">
        <f t="shared" si="109"/>
        <v>719.84745762711862</v>
      </c>
      <c r="N191" s="31">
        <f t="shared" si="109"/>
        <v>919.76795580110502</v>
      </c>
      <c r="O191" s="31">
        <f t="shared" si="109"/>
        <v>1092.9494301994303</v>
      </c>
      <c r="P191" s="40">
        <f t="shared" si="106"/>
        <v>8226.1819742693151</v>
      </c>
      <c r="Q191" s="2"/>
      <c r="R191" s="11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89"/>
      <c r="B192" s="2"/>
      <c r="C192" s="2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91"/>
      <c r="Q192" s="2"/>
      <c r="R192" s="11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12" t="s">
        <v>12</v>
      </c>
      <c r="B193" s="13"/>
      <c r="C193" s="14"/>
      <c r="D193" s="15" t="s">
        <v>13</v>
      </c>
      <c r="E193" s="15" t="s">
        <v>14</v>
      </c>
      <c r="F193" s="15" t="s">
        <v>15</v>
      </c>
      <c r="G193" s="15" t="s">
        <v>16</v>
      </c>
      <c r="H193" s="15" t="s">
        <v>17</v>
      </c>
      <c r="I193" s="15" t="s">
        <v>18</v>
      </c>
      <c r="J193" s="16" t="s">
        <v>19</v>
      </c>
      <c r="K193" s="15" t="s">
        <v>20</v>
      </c>
      <c r="L193" s="15" t="s">
        <v>21</v>
      </c>
      <c r="M193" s="15" t="s">
        <v>22</v>
      </c>
      <c r="N193" s="15" t="s">
        <v>23</v>
      </c>
      <c r="O193" s="15" t="s">
        <v>24</v>
      </c>
      <c r="P193" s="15" t="s">
        <v>25</v>
      </c>
      <c r="Q193" s="2"/>
      <c r="R193" s="9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12"/>
      <c r="B194" s="13"/>
      <c r="C194" s="14"/>
      <c r="D194" s="77">
        <v>31</v>
      </c>
      <c r="E194" s="77">
        <v>29</v>
      </c>
      <c r="F194" s="77">
        <v>31</v>
      </c>
      <c r="G194" s="77">
        <v>30</v>
      </c>
      <c r="H194" s="77">
        <v>31</v>
      </c>
      <c r="I194" s="77">
        <v>30</v>
      </c>
      <c r="J194" s="78">
        <v>31</v>
      </c>
      <c r="K194" s="77">
        <v>31</v>
      </c>
      <c r="L194" s="77">
        <v>30</v>
      </c>
      <c r="M194" s="77">
        <v>31</v>
      </c>
      <c r="N194" s="77">
        <v>30</v>
      </c>
      <c r="O194" s="77">
        <v>31</v>
      </c>
      <c r="P194" s="15">
        <f>SUM(D194:O194)</f>
        <v>366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4">
        <v>2024</v>
      </c>
      <c r="B195" s="25" t="s">
        <v>27</v>
      </c>
      <c r="C195" s="26" t="s">
        <v>453</v>
      </c>
      <c r="D195" s="27">
        <v>-9.6</v>
      </c>
      <c r="E195" s="27">
        <v>-4.5</v>
      </c>
      <c r="F195" s="27">
        <v>0</v>
      </c>
      <c r="G195" s="27">
        <v>3.1</v>
      </c>
      <c r="H195" s="27">
        <v>13.4</v>
      </c>
      <c r="I195" s="27">
        <v>16.5</v>
      </c>
      <c r="J195" s="27">
        <v>18.2</v>
      </c>
      <c r="K195" s="27">
        <v>16.600000000000001</v>
      </c>
      <c r="L195" s="27">
        <v>13.3</v>
      </c>
      <c r="M195" s="27">
        <v>6.8</v>
      </c>
      <c r="N195" s="27">
        <v>2</v>
      </c>
      <c r="O195" s="27">
        <v>-1</v>
      </c>
      <c r="P195" s="27">
        <f>AVERAGE(D195:O195)</f>
        <v>6.2333333333333334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4">
        <v>2024</v>
      </c>
      <c r="B196" s="25" t="s">
        <v>29</v>
      </c>
      <c r="C196" s="30" t="s">
        <v>30</v>
      </c>
      <c r="D196" s="31">
        <v>1019</v>
      </c>
      <c r="E196" s="31">
        <v>826</v>
      </c>
      <c r="F196" s="31">
        <v>761</v>
      </c>
      <c r="G196" s="31">
        <v>587</v>
      </c>
      <c r="H196" s="31">
        <v>292</v>
      </c>
      <c r="I196" s="42">
        <v>176</v>
      </c>
      <c r="J196" s="42">
        <v>150</v>
      </c>
      <c r="K196" s="31">
        <v>151</v>
      </c>
      <c r="L196" s="31">
        <v>227</v>
      </c>
      <c r="M196" s="31">
        <v>494</v>
      </c>
      <c r="N196" s="31">
        <v>707</v>
      </c>
      <c r="O196" s="31">
        <v>791</v>
      </c>
      <c r="P196" s="31">
        <f t="shared" ref="P196:P199" si="110">SUM(D196:O196)</f>
        <v>6181</v>
      </c>
      <c r="Q196" s="2"/>
      <c r="R196" s="11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4">
        <v>2024</v>
      </c>
      <c r="B197" s="25" t="s">
        <v>31</v>
      </c>
      <c r="C197" s="30" t="s">
        <v>30</v>
      </c>
      <c r="D197" s="31">
        <v>779</v>
      </c>
      <c r="E197" s="43">
        <v>683</v>
      </c>
      <c r="F197" s="31">
        <v>647</v>
      </c>
      <c r="G197" s="31">
        <v>588</v>
      </c>
      <c r="H197" s="31">
        <v>373</v>
      </c>
      <c r="I197" s="42">
        <v>356</v>
      </c>
      <c r="J197" s="42">
        <v>134</v>
      </c>
      <c r="K197" s="31">
        <v>256</v>
      </c>
      <c r="L197" s="31">
        <v>306</v>
      </c>
      <c r="M197" s="31">
        <v>495</v>
      </c>
      <c r="N197" s="31">
        <v>595</v>
      </c>
      <c r="O197" s="31">
        <v>666</v>
      </c>
      <c r="P197" s="31">
        <f t="shared" si="110"/>
        <v>5878</v>
      </c>
      <c r="Q197" s="2"/>
      <c r="R197" s="11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4">
        <v>2024</v>
      </c>
      <c r="B198" s="25" t="s">
        <v>32</v>
      </c>
      <c r="C198" s="30" t="s">
        <v>30</v>
      </c>
      <c r="D198" s="31">
        <f t="shared" ref="D198:O198" si="111">SUM(D196:D197)</f>
        <v>1798</v>
      </c>
      <c r="E198" s="31">
        <f t="shared" si="111"/>
        <v>1509</v>
      </c>
      <c r="F198" s="31">
        <f t="shared" si="111"/>
        <v>1408</v>
      </c>
      <c r="G198" s="31">
        <f t="shared" si="111"/>
        <v>1175</v>
      </c>
      <c r="H198" s="31">
        <f t="shared" si="111"/>
        <v>665</v>
      </c>
      <c r="I198" s="31">
        <f t="shared" si="111"/>
        <v>532</v>
      </c>
      <c r="J198" s="31">
        <f t="shared" si="111"/>
        <v>284</v>
      </c>
      <c r="K198" s="31">
        <f t="shared" si="111"/>
        <v>407</v>
      </c>
      <c r="L198" s="31">
        <f t="shared" si="111"/>
        <v>533</v>
      </c>
      <c r="M198" s="31">
        <f t="shared" si="111"/>
        <v>989</v>
      </c>
      <c r="N198" s="31">
        <f t="shared" si="111"/>
        <v>1302</v>
      </c>
      <c r="O198" s="31">
        <f t="shared" si="111"/>
        <v>1457</v>
      </c>
      <c r="P198" s="40">
        <f t="shared" si="110"/>
        <v>12059</v>
      </c>
      <c r="Q198" s="2"/>
      <c r="R198" s="11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4">
        <v>2024</v>
      </c>
      <c r="B199" s="41" t="s">
        <v>36</v>
      </c>
      <c r="C199" s="26" t="s">
        <v>454</v>
      </c>
      <c r="D199" s="31">
        <v>814</v>
      </c>
      <c r="E199" s="31">
        <v>625</v>
      </c>
      <c r="F199" s="31">
        <v>519</v>
      </c>
      <c r="G199" s="31">
        <v>407</v>
      </c>
      <c r="H199" s="31">
        <v>91</v>
      </c>
      <c r="I199" s="31">
        <v>0</v>
      </c>
      <c r="J199" s="31">
        <v>0</v>
      </c>
      <c r="K199" s="31">
        <v>0</v>
      </c>
      <c r="L199" s="31">
        <v>57.843137254901961</v>
      </c>
      <c r="M199" s="31">
        <v>310.78431372549016</v>
      </c>
      <c r="N199" s="31">
        <v>447</v>
      </c>
      <c r="O199" s="42">
        <v>560</v>
      </c>
      <c r="P199" s="31">
        <f t="shared" si="110"/>
        <v>3831.6274509803925</v>
      </c>
      <c r="Q199" s="2"/>
      <c r="R199" s="11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4">
        <v>2024</v>
      </c>
      <c r="B200" s="41" t="s">
        <v>39</v>
      </c>
      <c r="C200" s="26" t="s">
        <v>455</v>
      </c>
      <c r="D200" s="31">
        <v>693</v>
      </c>
      <c r="E200" s="31">
        <v>641</v>
      </c>
      <c r="F200" s="31">
        <v>588</v>
      </c>
      <c r="G200" s="31">
        <v>379</v>
      </c>
      <c r="H200" s="31">
        <v>154</v>
      </c>
      <c r="I200" s="31">
        <v>19</v>
      </c>
      <c r="J200" s="31">
        <v>4</v>
      </c>
      <c r="K200" s="31">
        <v>21</v>
      </c>
      <c r="L200" s="31">
        <v>165</v>
      </c>
      <c r="M200" s="31">
        <v>378</v>
      </c>
      <c r="N200" s="31">
        <v>494</v>
      </c>
      <c r="O200" s="31">
        <v>619</v>
      </c>
      <c r="P200" s="31">
        <v>4155</v>
      </c>
      <c r="Q200" s="83"/>
      <c r="R200" s="11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4">
        <v>2024</v>
      </c>
      <c r="B201" s="25" t="s">
        <v>42</v>
      </c>
      <c r="C201" s="30" t="s">
        <v>30</v>
      </c>
      <c r="D201" s="31">
        <f t="shared" ref="D201:O201" si="112">D198-D194*($Q$4)</f>
        <v>1379.5</v>
      </c>
      <c r="E201" s="31">
        <f t="shared" si="112"/>
        <v>1117.5</v>
      </c>
      <c r="F201" s="31">
        <f t="shared" si="112"/>
        <v>989.5</v>
      </c>
      <c r="G201" s="31">
        <f t="shared" si="112"/>
        <v>770</v>
      </c>
      <c r="H201" s="31">
        <f t="shared" si="112"/>
        <v>246.5</v>
      </c>
      <c r="I201" s="31">
        <f t="shared" si="112"/>
        <v>127</v>
      </c>
      <c r="J201" s="31">
        <f t="shared" si="112"/>
        <v>-134.5</v>
      </c>
      <c r="K201" s="31">
        <f t="shared" si="112"/>
        <v>-11.5</v>
      </c>
      <c r="L201" s="31">
        <f t="shared" si="112"/>
        <v>128</v>
      </c>
      <c r="M201" s="31">
        <f t="shared" si="112"/>
        <v>570.5</v>
      </c>
      <c r="N201" s="31">
        <f t="shared" si="112"/>
        <v>897</v>
      </c>
      <c r="O201" s="31">
        <f t="shared" si="112"/>
        <v>1038.5</v>
      </c>
      <c r="P201" s="31">
        <f t="shared" ref="P201:P202" si="113">SUM(D201:O201)</f>
        <v>7118</v>
      </c>
      <c r="Q201" s="83"/>
      <c r="R201" s="11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4">
        <v>2024</v>
      </c>
      <c r="B202" s="25" t="s">
        <v>43</v>
      </c>
      <c r="C202" s="30" t="s">
        <v>30</v>
      </c>
      <c r="D202" s="31">
        <f t="shared" ref="D202:H202" si="114">IF(D201&lt;0,0,((D200/D199))*D201)</f>
        <v>1174.4391891891892</v>
      </c>
      <c r="E202" s="31">
        <f t="shared" si="114"/>
        <v>1146.1080000000002</v>
      </c>
      <c r="F202" s="31">
        <f t="shared" si="114"/>
        <v>1121.0520231213875</v>
      </c>
      <c r="G202" s="31">
        <f t="shared" si="114"/>
        <v>717.02702702702697</v>
      </c>
      <c r="H202" s="31">
        <f t="shared" si="114"/>
        <v>417.15384615384613</v>
      </c>
      <c r="I202" s="31">
        <f t="shared" ref="I202:K202" si="115">I201</f>
        <v>127</v>
      </c>
      <c r="J202" s="31">
        <f t="shared" si="115"/>
        <v>-134.5</v>
      </c>
      <c r="K202" s="31">
        <f t="shared" si="115"/>
        <v>-11.5</v>
      </c>
      <c r="L202" s="31">
        <f t="shared" ref="L202:O202" si="116">IF(L201&lt;0,0,((L200/L199))*L201)</f>
        <v>365.12542372881353</v>
      </c>
      <c r="M202" s="31">
        <f t="shared" si="116"/>
        <v>693.88637223974774</v>
      </c>
      <c r="N202" s="31">
        <f t="shared" si="116"/>
        <v>991.31543624161077</v>
      </c>
      <c r="O202" s="31">
        <f t="shared" si="116"/>
        <v>1147.913392857143</v>
      </c>
      <c r="P202" s="40">
        <f t="shared" si="113"/>
        <v>7755.0207105587642</v>
      </c>
      <c r="Q202" s="2"/>
      <c r="R202" s="11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89"/>
      <c r="B203" s="2"/>
      <c r="C203" s="2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91"/>
      <c r="Q203" s="2"/>
      <c r="R203" s="11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12" t="s">
        <v>12</v>
      </c>
      <c r="B204" s="13"/>
      <c r="C204" s="14"/>
      <c r="D204" s="15" t="s">
        <v>13</v>
      </c>
      <c r="E204" s="15" t="s">
        <v>14</v>
      </c>
      <c r="F204" s="15" t="s">
        <v>15</v>
      </c>
      <c r="G204" s="15" t="s">
        <v>16</v>
      </c>
      <c r="H204" s="15" t="s">
        <v>17</v>
      </c>
      <c r="I204" s="15" t="s">
        <v>18</v>
      </c>
      <c r="J204" s="16" t="s">
        <v>19</v>
      </c>
      <c r="K204" s="15" t="s">
        <v>20</v>
      </c>
      <c r="L204" s="15" t="s">
        <v>21</v>
      </c>
      <c r="M204" s="15" t="s">
        <v>22</v>
      </c>
      <c r="N204" s="15" t="s">
        <v>23</v>
      </c>
      <c r="O204" s="15" t="s">
        <v>24</v>
      </c>
      <c r="P204" s="15" t="s">
        <v>25</v>
      </c>
      <c r="Q204" s="2"/>
      <c r="R204" s="9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12"/>
      <c r="B205" s="13"/>
      <c r="C205" s="14"/>
      <c r="D205" s="77">
        <v>31</v>
      </c>
      <c r="E205" s="77">
        <v>28</v>
      </c>
      <c r="F205" s="77">
        <v>31</v>
      </c>
      <c r="G205" s="77">
        <v>30</v>
      </c>
      <c r="H205" s="77">
        <v>31</v>
      </c>
      <c r="I205" s="77">
        <v>30</v>
      </c>
      <c r="J205" s="78">
        <v>31</v>
      </c>
      <c r="K205" s="77">
        <v>31</v>
      </c>
      <c r="L205" s="77">
        <v>30</v>
      </c>
      <c r="M205" s="77">
        <v>31</v>
      </c>
      <c r="N205" s="77">
        <v>30</v>
      </c>
      <c r="O205" s="77">
        <v>31</v>
      </c>
      <c r="P205" s="15">
        <f>SUM(D205:O205)</f>
        <v>365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4">
        <v>2025</v>
      </c>
      <c r="B206" s="25" t="s">
        <v>27</v>
      </c>
      <c r="C206" s="26" t="s">
        <v>456</v>
      </c>
      <c r="D206" s="27">
        <v>-1.8</v>
      </c>
      <c r="E206" s="27">
        <v>-3.3</v>
      </c>
      <c r="F206" s="27">
        <v>1.6</v>
      </c>
      <c r="G206" s="27">
        <v>5.4</v>
      </c>
      <c r="H206" s="27">
        <v>8.9</v>
      </c>
      <c r="I206" s="27">
        <v>13.9</v>
      </c>
      <c r="J206" s="27">
        <v>19.8</v>
      </c>
      <c r="K206" s="27">
        <v>14.7</v>
      </c>
      <c r="L206" s="27">
        <v>12.7</v>
      </c>
      <c r="M206" s="27">
        <v>6.2</v>
      </c>
      <c r="N206" s="27">
        <v>3.1</v>
      </c>
      <c r="O206" s="28">
        <v>0.8</v>
      </c>
      <c r="P206" s="27">
        <f>AVERAGE(D206:O206)</f>
        <v>6.833333333333333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4">
        <v>2025</v>
      </c>
      <c r="B207" s="25" t="s">
        <v>29</v>
      </c>
      <c r="C207" s="30" t="s">
        <v>30</v>
      </c>
      <c r="D207" s="31">
        <v>880</v>
      </c>
      <c r="E207" s="31">
        <v>782</v>
      </c>
      <c r="F207" s="31">
        <v>701</v>
      </c>
      <c r="G207" s="31">
        <v>509</v>
      </c>
      <c r="H207" s="31">
        <v>400</v>
      </c>
      <c r="I207" s="42">
        <v>252</v>
      </c>
      <c r="J207" s="42">
        <v>154</v>
      </c>
      <c r="K207" s="31">
        <v>221</v>
      </c>
      <c r="L207" s="44">
        <v>302</v>
      </c>
      <c r="M207" s="44">
        <v>484</v>
      </c>
      <c r="N207" s="44">
        <v>636</v>
      </c>
      <c r="O207" s="31">
        <v>736</v>
      </c>
      <c r="P207" s="31">
        <f t="shared" ref="P207:P210" si="117">SUM(D207:O207)</f>
        <v>6057</v>
      </c>
      <c r="Q207" s="2"/>
      <c r="R207" s="11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4">
        <v>2025</v>
      </c>
      <c r="B208" s="25" t="s">
        <v>31</v>
      </c>
      <c r="C208" s="30" t="s">
        <v>30</v>
      </c>
      <c r="D208" s="31">
        <v>707</v>
      </c>
      <c r="E208" s="43">
        <v>615</v>
      </c>
      <c r="F208" s="31">
        <v>655</v>
      </c>
      <c r="G208" s="31">
        <v>528</v>
      </c>
      <c r="H208" s="31">
        <v>459</v>
      </c>
      <c r="I208" s="42">
        <v>319</v>
      </c>
      <c r="J208" s="42">
        <v>230</v>
      </c>
      <c r="K208" s="31">
        <v>274</v>
      </c>
      <c r="L208" s="44">
        <v>351</v>
      </c>
      <c r="M208" s="44">
        <v>476</v>
      </c>
      <c r="N208" s="44">
        <v>544</v>
      </c>
      <c r="O208" s="31">
        <v>622</v>
      </c>
      <c r="P208" s="31">
        <f t="shared" si="117"/>
        <v>5780</v>
      </c>
      <c r="Q208" s="2"/>
      <c r="R208" s="11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4">
        <v>2025</v>
      </c>
      <c r="B209" s="25" t="s">
        <v>32</v>
      </c>
      <c r="C209" s="30" t="s">
        <v>30</v>
      </c>
      <c r="D209" s="31">
        <f t="shared" ref="D209:O209" si="118">SUM(D207:D208)</f>
        <v>1587</v>
      </c>
      <c r="E209" s="31">
        <f t="shared" si="118"/>
        <v>1397</v>
      </c>
      <c r="F209" s="31">
        <f t="shared" si="118"/>
        <v>1356</v>
      </c>
      <c r="G209" s="31">
        <f t="shared" si="118"/>
        <v>1037</v>
      </c>
      <c r="H209" s="31">
        <f t="shared" si="118"/>
        <v>859</v>
      </c>
      <c r="I209" s="31">
        <f t="shared" si="118"/>
        <v>571</v>
      </c>
      <c r="J209" s="31">
        <f t="shared" si="118"/>
        <v>384</v>
      </c>
      <c r="K209" s="31">
        <f t="shared" si="118"/>
        <v>495</v>
      </c>
      <c r="L209" s="31">
        <f t="shared" si="118"/>
        <v>653</v>
      </c>
      <c r="M209" s="31">
        <f t="shared" si="118"/>
        <v>960</v>
      </c>
      <c r="N209" s="31">
        <f t="shared" si="118"/>
        <v>1180</v>
      </c>
      <c r="O209" s="31">
        <f t="shared" si="118"/>
        <v>1358</v>
      </c>
      <c r="P209" s="40">
        <f t="shared" si="117"/>
        <v>11837</v>
      </c>
      <c r="Q209" s="2"/>
      <c r="R209" s="11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4">
        <v>2025</v>
      </c>
      <c r="B210" s="41" t="s">
        <v>36</v>
      </c>
      <c r="C210" s="26" t="s">
        <v>457</v>
      </c>
      <c r="D210" s="44">
        <f>604/1.02</f>
        <v>592.15686274509801</v>
      </c>
      <c r="E210" s="44">
        <f>580/1.02</f>
        <v>568.62745098039215</v>
      </c>
      <c r="F210" s="44">
        <f>480/1.02</f>
        <v>470.58823529411762</v>
      </c>
      <c r="G210" s="44">
        <f>327/1.02</f>
        <v>320.58823529411762</v>
      </c>
      <c r="H210" s="44">
        <f>168/1.02</f>
        <v>164.70588235294116</v>
      </c>
      <c r="I210" s="44">
        <v>0</v>
      </c>
      <c r="J210" s="44">
        <v>0</v>
      </c>
      <c r="K210" s="44">
        <f>25/1.04</f>
        <v>24.038461538461537</v>
      </c>
      <c r="L210" s="44">
        <f>84/1.02</f>
        <v>82.35294117647058</v>
      </c>
      <c r="M210" s="44">
        <f>324/1.02</f>
        <v>317.64705882352939</v>
      </c>
      <c r="N210" s="44">
        <f>427/1.02</f>
        <v>418.62745098039215</v>
      </c>
      <c r="O210" s="42">
        <f>507/1.02</f>
        <v>497.05882352941177</v>
      </c>
      <c r="P210" s="31">
        <f t="shared" si="117"/>
        <v>3456.3914027149317</v>
      </c>
      <c r="Q210" s="2"/>
      <c r="R210" s="11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4">
        <v>2025</v>
      </c>
      <c r="B211" s="41" t="s">
        <v>39</v>
      </c>
      <c r="C211" s="26" t="s">
        <v>458</v>
      </c>
      <c r="D211" s="31">
        <v>693</v>
      </c>
      <c r="E211" s="31">
        <v>641</v>
      </c>
      <c r="F211" s="31">
        <v>588</v>
      </c>
      <c r="G211" s="31">
        <v>379</v>
      </c>
      <c r="H211" s="31">
        <v>154</v>
      </c>
      <c r="I211" s="31">
        <v>19</v>
      </c>
      <c r="J211" s="31">
        <v>4</v>
      </c>
      <c r="K211" s="31">
        <v>21</v>
      </c>
      <c r="L211" s="31">
        <v>165</v>
      </c>
      <c r="M211" s="31">
        <v>378</v>
      </c>
      <c r="N211" s="31">
        <v>494</v>
      </c>
      <c r="O211" s="31">
        <v>619</v>
      </c>
      <c r="P211" s="31">
        <v>4155</v>
      </c>
      <c r="Q211" s="83"/>
      <c r="R211" s="11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4">
        <v>2025</v>
      </c>
      <c r="B212" s="25" t="s">
        <v>42</v>
      </c>
      <c r="C212" s="30" t="s">
        <v>30</v>
      </c>
      <c r="D212" s="31">
        <f t="shared" ref="D212:O212" si="119">D209-D205*($Q$4)</f>
        <v>1168.5</v>
      </c>
      <c r="E212" s="31">
        <f t="shared" si="119"/>
        <v>1019</v>
      </c>
      <c r="F212" s="31">
        <f t="shared" si="119"/>
        <v>937.5</v>
      </c>
      <c r="G212" s="31">
        <f t="shared" si="119"/>
        <v>632</v>
      </c>
      <c r="H212" s="31">
        <f t="shared" si="119"/>
        <v>440.5</v>
      </c>
      <c r="I212" s="31">
        <f t="shared" si="119"/>
        <v>166</v>
      </c>
      <c r="J212" s="31">
        <f t="shared" si="119"/>
        <v>-34.5</v>
      </c>
      <c r="K212" s="31">
        <f t="shared" si="119"/>
        <v>76.5</v>
      </c>
      <c r="L212" s="31">
        <f t="shared" si="119"/>
        <v>248</v>
      </c>
      <c r="M212" s="31">
        <f t="shared" si="119"/>
        <v>541.5</v>
      </c>
      <c r="N212" s="31">
        <f t="shared" si="119"/>
        <v>775</v>
      </c>
      <c r="O212" s="31">
        <f t="shared" si="119"/>
        <v>939.5</v>
      </c>
      <c r="P212" s="31">
        <f t="shared" ref="P212:P213" si="120">SUM(D212:O212)</f>
        <v>6909.5</v>
      </c>
      <c r="Q212" s="83"/>
      <c r="R212" s="11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4">
        <v>2025</v>
      </c>
      <c r="B213" s="25" t="s">
        <v>43</v>
      </c>
      <c r="C213" s="30" t="s">
        <v>30</v>
      </c>
      <c r="D213" s="31">
        <f t="shared" ref="D213:H213" si="121">IF(D212&lt;0,0,((D211/D210))*D212)</f>
        <v>1367.4932284768213</v>
      </c>
      <c r="E213" s="31">
        <f t="shared" si="121"/>
        <v>1148.6941034482759</v>
      </c>
      <c r="F213" s="31">
        <f t="shared" si="121"/>
        <v>1171.40625</v>
      </c>
      <c r="G213" s="31">
        <f t="shared" si="121"/>
        <v>747.15155963302766</v>
      </c>
      <c r="H213" s="31">
        <f t="shared" si="121"/>
        <v>411.86750000000001</v>
      </c>
      <c r="I213" s="31">
        <f t="shared" ref="I213:K213" si="122">I212</f>
        <v>166</v>
      </c>
      <c r="J213" s="31">
        <f t="shared" si="122"/>
        <v>-34.5</v>
      </c>
      <c r="K213" s="31">
        <f t="shared" si="122"/>
        <v>76.5</v>
      </c>
      <c r="L213" s="31">
        <f t="shared" ref="L213:O213" si="123">IF(L212&lt;0,0,((L211/L210))*L212)</f>
        <v>496.8857142857143</v>
      </c>
      <c r="M213" s="31">
        <f t="shared" si="123"/>
        <v>644.3850000000001</v>
      </c>
      <c r="N213" s="31">
        <f t="shared" si="123"/>
        <v>914.53629976580805</v>
      </c>
      <c r="O213" s="31">
        <f t="shared" si="123"/>
        <v>1169.9832544378698</v>
      </c>
      <c r="P213" s="40">
        <f t="shared" si="120"/>
        <v>8280.4029100475163</v>
      </c>
      <c r="Q213" s="2"/>
      <c r="R213" s="11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89"/>
      <c r="B214" s="2"/>
      <c r="C214" s="2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91"/>
      <c r="Q214" s="2"/>
      <c r="R214" s="11"/>
      <c r="S214" s="2"/>
      <c r="T214" s="2"/>
      <c r="U214" s="2"/>
      <c r="V214" s="2"/>
      <c r="W214" s="2"/>
      <c r="X214" s="2"/>
      <c r="Y214" s="2"/>
      <c r="Z214" s="2"/>
    </row>
    <row r="215" spans="1:26" s="124" customFormat="1" ht="12.75" customHeight="1" x14ac:dyDescent="0.25">
      <c r="A215" s="12" t="s">
        <v>12</v>
      </c>
      <c r="B215" s="13"/>
      <c r="C215" s="14"/>
      <c r="D215" s="15" t="s">
        <v>13</v>
      </c>
      <c r="E215" s="15" t="s">
        <v>14</v>
      </c>
      <c r="F215" s="15" t="s">
        <v>15</v>
      </c>
      <c r="G215" s="15" t="s">
        <v>16</v>
      </c>
      <c r="H215" s="15" t="s">
        <v>17</v>
      </c>
      <c r="I215" s="15" t="s">
        <v>18</v>
      </c>
      <c r="J215" s="16" t="s">
        <v>19</v>
      </c>
      <c r="K215" s="15" t="s">
        <v>20</v>
      </c>
      <c r="L215" s="15" t="s">
        <v>21</v>
      </c>
      <c r="M215" s="15" t="s">
        <v>22</v>
      </c>
      <c r="N215" s="15" t="s">
        <v>23</v>
      </c>
      <c r="O215" s="15" t="s">
        <v>24</v>
      </c>
      <c r="P215" s="15" t="s">
        <v>25</v>
      </c>
      <c r="Q215" s="2"/>
      <c r="R215" s="92" t="s">
        <v>354</v>
      </c>
      <c r="S215" s="2"/>
      <c r="T215" s="2"/>
      <c r="U215" s="2"/>
      <c r="V215" s="2"/>
      <c r="W215" s="2"/>
      <c r="X215" s="2"/>
      <c r="Y215" s="2"/>
      <c r="Z215" s="2"/>
    </row>
    <row r="216" spans="1:26" s="124" customFormat="1" ht="12.75" customHeight="1" x14ac:dyDescent="0.25">
      <c r="A216" s="12"/>
      <c r="B216" s="13"/>
      <c r="C216" s="14"/>
      <c r="D216" s="77">
        <v>31</v>
      </c>
      <c r="E216" s="77">
        <v>28</v>
      </c>
      <c r="F216" s="77">
        <v>31</v>
      </c>
      <c r="G216" s="77">
        <v>30</v>
      </c>
      <c r="H216" s="77">
        <v>31</v>
      </c>
      <c r="I216" s="77">
        <v>30</v>
      </c>
      <c r="J216" s="78">
        <v>31</v>
      </c>
      <c r="K216" s="77">
        <v>31</v>
      </c>
      <c r="L216" s="77">
        <v>30</v>
      </c>
      <c r="M216" s="77">
        <v>31</v>
      </c>
      <c r="N216" s="77">
        <v>30</v>
      </c>
      <c r="O216" s="77">
        <v>31</v>
      </c>
      <c r="P216" s="15">
        <f>SUM(D216:O216)</f>
        <v>365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s="124" customFormat="1" ht="12.75" customHeight="1" x14ac:dyDescent="0.25">
      <c r="A217" s="24">
        <v>2026</v>
      </c>
      <c r="B217" s="25" t="s">
        <v>27</v>
      </c>
      <c r="C217" s="26" t="s">
        <v>28</v>
      </c>
      <c r="D217" s="27">
        <v>-10.199999999999999</v>
      </c>
      <c r="E217" s="27">
        <v>-11.2</v>
      </c>
      <c r="F217" s="27">
        <v>2.8</v>
      </c>
      <c r="G217" s="27">
        <v>4.5999999999999996</v>
      </c>
      <c r="H217" s="27">
        <v>11.6</v>
      </c>
      <c r="I217" s="27">
        <v>16.2</v>
      </c>
      <c r="J217" s="27">
        <v>16.7</v>
      </c>
      <c r="K217" s="27"/>
      <c r="L217" s="27"/>
      <c r="M217" s="27"/>
      <c r="N217" s="27"/>
      <c r="O217" s="28"/>
      <c r="P217" s="27">
        <f>AVERAGE(D217:O217)</f>
        <v>4.3571428571428568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s="124" customFormat="1" ht="12.75" customHeight="1" x14ac:dyDescent="0.25">
      <c r="A218" s="24">
        <v>2026</v>
      </c>
      <c r="B218" s="25" t="s">
        <v>29</v>
      </c>
      <c r="C218" s="30" t="s">
        <v>30</v>
      </c>
      <c r="D218" s="44">
        <v>1058</v>
      </c>
      <c r="E218" s="44">
        <v>960</v>
      </c>
      <c r="F218" s="44">
        <v>711</v>
      </c>
      <c r="G218" s="44">
        <v>554</v>
      </c>
      <c r="H218" s="44">
        <v>346</v>
      </c>
      <c r="I218" s="42">
        <v>190</v>
      </c>
      <c r="J218" s="42">
        <v>169</v>
      </c>
      <c r="K218" s="44"/>
      <c r="L218" s="44"/>
      <c r="M218" s="44"/>
      <c r="N218" s="44"/>
      <c r="O218" s="44"/>
      <c r="P218" s="44">
        <f t="shared" ref="P218:P221" si="124">SUM(D218:O218)</f>
        <v>3988</v>
      </c>
      <c r="Q218" s="2"/>
      <c r="R218" s="11">
        <f>SUM(D218:O218)+SUM(K207:O207)</f>
        <v>6367</v>
      </c>
      <c r="S218" s="2"/>
      <c r="T218" s="2"/>
      <c r="U218" s="2"/>
      <c r="V218" s="2"/>
      <c r="W218" s="2"/>
      <c r="X218" s="2"/>
      <c r="Y218" s="2"/>
      <c r="Z218" s="2"/>
    </row>
    <row r="219" spans="1:26" s="124" customFormat="1" ht="12.75" customHeight="1" x14ac:dyDescent="0.25">
      <c r="A219" s="24">
        <v>2026</v>
      </c>
      <c r="B219" s="25" t="s">
        <v>31</v>
      </c>
      <c r="C219" s="30" t="s">
        <v>30</v>
      </c>
      <c r="D219" s="44">
        <v>797</v>
      </c>
      <c r="E219" s="43">
        <v>712</v>
      </c>
      <c r="F219" s="44">
        <v>639</v>
      </c>
      <c r="G219" s="44">
        <v>572</v>
      </c>
      <c r="H219" s="44">
        <v>379</v>
      </c>
      <c r="I219" s="42">
        <v>270</v>
      </c>
      <c r="J219" s="42">
        <v>238</v>
      </c>
      <c r="K219" s="44"/>
      <c r="L219" s="44"/>
      <c r="M219" s="44"/>
      <c r="N219" s="44"/>
      <c r="O219" s="44"/>
      <c r="P219" s="44">
        <f t="shared" si="124"/>
        <v>3607</v>
      </c>
      <c r="Q219" s="2"/>
      <c r="R219" s="11">
        <f t="shared" ref="R219:R224" si="125">SUM(D219:O219)+SUM(K208:O208)</f>
        <v>5874</v>
      </c>
      <c r="S219" s="2"/>
      <c r="T219" s="2"/>
      <c r="U219" s="2"/>
      <c r="V219" s="2"/>
      <c r="W219" s="2"/>
      <c r="X219" s="2"/>
      <c r="Y219" s="2"/>
      <c r="Z219" s="2"/>
    </row>
    <row r="220" spans="1:26" s="124" customFormat="1" ht="12.75" customHeight="1" x14ac:dyDescent="0.25">
      <c r="A220" s="24">
        <v>2026</v>
      </c>
      <c r="B220" s="25" t="s">
        <v>32</v>
      </c>
      <c r="C220" s="30" t="s">
        <v>30</v>
      </c>
      <c r="D220" s="44">
        <f t="shared" ref="D220:O220" si="126">SUM(D218:D219)</f>
        <v>1855</v>
      </c>
      <c r="E220" s="44">
        <f t="shared" si="126"/>
        <v>1672</v>
      </c>
      <c r="F220" s="44">
        <f t="shared" si="126"/>
        <v>1350</v>
      </c>
      <c r="G220" s="44">
        <f t="shared" si="126"/>
        <v>1126</v>
      </c>
      <c r="H220" s="44">
        <f t="shared" si="126"/>
        <v>725</v>
      </c>
      <c r="I220" s="44">
        <f t="shared" si="126"/>
        <v>460</v>
      </c>
      <c r="J220" s="44">
        <f t="shared" si="126"/>
        <v>407</v>
      </c>
      <c r="K220" s="44">
        <f t="shared" si="126"/>
        <v>0</v>
      </c>
      <c r="L220" s="44">
        <f t="shared" si="126"/>
        <v>0</v>
      </c>
      <c r="M220" s="44">
        <f t="shared" si="126"/>
        <v>0</v>
      </c>
      <c r="N220" s="44">
        <f t="shared" si="126"/>
        <v>0</v>
      </c>
      <c r="O220" s="44">
        <f t="shared" si="126"/>
        <v>0</v>
      </c>
      <c r="P220" s="40">
        <f t="shared" si="124"/>
        <v>7595</v>
      </c>
      <c r="Q220" s="2"/>
      <c r="R220" s="11">
        <f t="shared" si="125"/>
        <v>12241</v>
      </c>
      <c r="S220" s="2"/>
      <c r="T220" s="2"/>
      <c r="U220" s="2"/>
      <c r="V220" s="2"/>
      <c r="W220" s="2"/>
      <c r="X220" s="2"/>
      <c r="Y220" s="2"/>
      <c r="Z220" s="2"/>
    </row>
    <row r="221" spans="1:26" s="124" customFormat="1" ht="12.75" customHeight="1" x14ac:dyDescent="0.25">
      <c r="A221" s="24">
        <v>2026</v>
      </c>
      <c r="B221" s="41" t="s">
        <v>36</v>
      </c>
      <c r="C221" s="26" t="s">
        <v>37</v>
      </c>
      <c r="D221" s="44">
        <v>814</v>
      </c>
      <c r="E221" s="44">
        <v>771</v>
      </c>
      <c r="F221" s="44">
        <v>425</v>
      </c>
      <c r="G221" s="44">
        <v>349</v>
      </c>
      <c r="H221" s="44">
        <v>65</v>
      </c>
      <c r="I221" s="44">
        <v>0</v>
      </c>
      <c r="J221" s="44">
        <v>0</v>
      </c>
      <c r="K221" s="44"/>
      <c r="L221" s="44"/>
      <c r="M221" s="44"/>
      <c r="N221" s="44"/>
      <c r="O221" s="42"/>
      <c r="P221" s="44">
        <f t="shared" si="124"/>
        <v>2424</v>
      </c>
      <c r="Q221" s="2"/>
      <c r="R221" s="11">
        <f t="shared" si="125"/>
        <v>3763.7247360482652</v>
      </c>
      <c r="S221" s="2"/>
      <c r="T221" s="2"/>
      <c r="U221" s="2"/>
      <c r="V221" s="2"/>
      <c r="W221" s="2"/>
      <c r="X221" s="2"/>
      <c r="Y221" s="2"/>
      <c r="Z221" s="2"/>
    </row>
    <row r="222" spans="1:26" s="124" customFormat="1" ht="12.75" customHeight="1" x14ac:dyDescent="0.25">
      <c r="A222" s="24">
        <v>2026</v>
      </c>
      <c r="B222" s="41" t="s">
        <v>39</v>
      </c>
      <c r="C222" s="26" t="s">
        <v>37</v>
      </c>
      <c r="D222" s="44">
        <v>693</v>
      </c>
      <c r="E222" s="44">
        <v>641</v>
      </c>
      <c r="F222" s="44">
        <v>588</v>
      </c>
      <c r="G222" s="44">
        <v>379</v>
      </c>
      <c r="H222" s="44">
        <v>154</v>
      </c>
      <c r="I222" s="44">
        <v>19</v>
      </c>
      <c r="J222" s="44">
        <v>4</v>
      </c>
      <c r="K222" s="44">
        <v>21</v>
      </c>
      <c r="L222" s="44">
        <v>165</v>
      </c>
      <c r="M222" s="44">
        <v>378</v>
      </c>
      <c r="N222" s="44">
        <v>494</v>
      </c>
      <c r="O222" s="44">
        <v>619</v>
      </c>
      <c r="P222" s="44">
        <v>4155</v>
      </c>
      <c r="Q222" s="83"/>
      <c r="R222" s="11">
        <f t="shared" si="125"/>
        <v>5832</v>
      </c>
      <c r="S222" s="2"/>
      <c r="T222" s="2"/>
      <c r="U222" s="2"/>
      <c r="V222" s="2"/>
      <c r="W222" s="2"/>
      <c r="X222" s="2"/>
      <c r="Y222" s="2"/>
      <c r="Z222" s="2"/>
    </row>
    <row r="223" spans="1:26" s="124" customFormat="1" ht="12.75" customHeight="1" x14ac:dyDescent="0.25">
      <c r="A223" s="24">
        <v>2026</v>
      </c>
      <c r="B223" s="25" t="s">
        <v>42</v>
      </c>
      <c r="C223" s="30" t="s">
        <v>30</v>
      </c>
      <c r="D223" s="44">
        <f t="shared" ref="D223:O223" si="127">D220-D216*($Q$4)</f>
        <v>1436.5</v>
      </c>
      <c r="E223" s="44">
        <f t="shared" si="127"/>
        <v>1294</v>
      </c>
      <c r="F223" s="44">
        <f t="shared" si="127"/>
        <v>931.5</v>
      </c>
      <c r="G223" s="44">
        <f t="shared" si="127"/>
        <v>721</v>
      </c>
      <c r="H223" s="44">
        <f t="shared" si="127"/>
        <v>306.5</v>
      </c>
      <c r="I223" s="44">
        <f t="shared" si="127"/>
        <v>55</v>
      </c>
      <c r="J223" s="44">
        <f t="shared" si="127"/>
        <v>-11.5</v>
      </c>
      <c r="K223" s="44">
        <f t="shared" si="127"/>
        <v>-418.5</v>
      </c>
      <c r="L223" s="44">
        <f t="shared" si="127"/>
        <v>-405</v>
      </c>
      <c r="M223" s="44">
        <f t="shared" si="127"/>
        <v>-418.5</v>
      </c>
      <c r="N223" s="44">
        <f t="shared" si="127"/>
        <v>-405</v>
      </c>
      <c r="O223" s="44">
        <f t="shared" si="127"/>
        <v>-418.5</v>
      </c>
      <c r="P223" s="44">
        <f t="shared" ref="P223:P224" si="128">SUM(D223:O223)</f>
        <v>2667.5</v>
      </c>
      <c r="Q223" s="83"/>
      <c r="R223" s="11">
        <f t="shared" si="125"/>
        <v>5248</v>
      </c>
      <c r="S223" s="2"/>
      <c r="T223" s="2"/>
      <c r="U223" s="2"/>
      <c r="V223" s="2"/>
      <c r="W223" s="2"/>
      <c r="X223" s="2"/>
      <c r="Y223" s="2"/>
      <c r="Z223" s="2"/>
    </row>
    <row r="224" spans="1:26" s="124" customFormat="1" ht="12.75" customHeight="1" x14ac:dyDescent="0.25">
      <c r="A224" s="24">
        <v>2026</v>
      </c>
      <c r="B224" s="25" t="s">
        <v>43</v>
      </c>
      <c r="C224" s="30" t="s">
        <v>30</v>
      </c>
      <c r="D224" s="44">
        <f t="shared" ref="D224:H224" si="129">IF(D223&lt;0,0,((D222/D221))*D223)</f>
        <v>1222.9662162162163</v>
      </c>
      <c r="E224" s="44">
        <f t="shared" si="129"/>
        <v>1075.815823605707</v>
      </c>
      <c r="F224" s="44">
        <f t="shared" si="129"/>
        <v>1288.7576470588235</v>
      </c>
      <c r="G224" s="44">
        <f t="shared" si="129"/>
        <v>782.97707736389691</v>
      </c>
      <c r="H224" s="44">
        <f t="shared" si="129"/>
        <v>726.16923076923081</v>
      </c>
      <c r="I224" s="44">
        <f t="shared" ref="I224:K224" si="130">I223</f>
        <v>55</v>
      </c>
      <c r="J224" s="44">
        <f t="shared" si="130"/>
        <v>-11.5</v>
      </c>
      <c r="K224" s="44">
        <f t="shared" si="130"/>
        <v>-418.5</v>
      </c>
      <c r="L224" s="44">
        <f t="shared" ref="L224:O224" si="131">IF(L223&lt;0,0,((L222/L221))*L223)</f>
        <v>0</v>
      </c>
      <c r="M224" s="44">
        <f t="shared" si="131"/>
        <v>0</v>
      </c>
      <c r="N224" s="44">
        <f t="shared" si="131"/>
        <v>0</v>
      </c>
      <c r="O224" s="44">
        <f t="shared" si="131"/>
        <v>0</v>
      </c>
      <c r="P224" s="40">
        <f t="shared" si="128"/>
        <v>4721.6859950138742</v>
      </c>
      <c r="Q224" s="2"/>
      <c r="R224" s="11">
        <f t="shared" si="125"/>
        <v>8023.9762635032666</v>
      </c>
      <c r="S224" s="2"/>
      <c r="T224" s="2"/>
      <c r="U224" s="2"/>
      <c r="V224" s="2"/>
      <c r="W224" s="2"/>
      <c r="X224" s="2"/>
      <c r="Y224" s="2"/>
      <c r="Z224" s="2"/>
    </row>
    <row r="225" spans="1:26" s="124" customFormat="1" ht="12.75" customHeight="1" x14ac:dyDescent="0.25">
      <c r="A225" s="89"/>
      <c r="B225" s="2"/>
      <c r="C225" s="2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91"/>
      <c r="Q225" s="2"/>
      <c r="R225" s="11"/>
      <c r="S225" s="2"/>
      <c r="T225" s="2"/>
      <c r="U225" s="2"/>
      <c r="V225" s="2"/>
      <c r="W225" s="2"/>
      <c r="X225" s="2"/>
      <c r="Y225" s="2"/>
      <c r="Z225" s="2"/>
    </row>
    <row r="226" spans="1:26" s="124" customFormat="1" ht="12.75" customHeight="1" x14ac:dyDescent="0.25">
      <c r="A226" s="89"/>
      <c r="B226" s="2"/>
      <c r="C226" s="2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91"/>
      <c r="Q226" s="2"/>
      <c r="R226" s="11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89"/>
      <c r="B227" s="2"/>
      <c r="C227" s="2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91"/>
      <c r="Q227" s="2"/>
      <c r="R227" s="11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89"/>
      <c r="B228" s="2"/>
      <c r="C228" s="2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91"/>
      <c r="Q228" s="2"/>
      <c r="R228" s="11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89"/>
      <c r="B229" s="2"/>
      <c r="C229" s="2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91"/>
      <c r="Q229" s="2"/>
      <c r="R229" s="11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>
        <v>2007</v>
      </c>
      <c r="B230" s="65" t="s">
        <v>56</v>
      </c>
      <c r="C230" s="2" t="s">
        <v>459</v>
      </c>
      <c r="D230" s="9">
        <f t="shared" ref="D230:H230" si="132">D14*1000/$F$4/D12</f>
        <v>7.84622041533017</v>
      </c>
      <c r="E230" s="9">
        <f t="shared" si="132"/>
        <v>7.3789428121944951</v>
      </c>
      <c r="F230" s="9">
        <f t="shared" si="132"/>
        <v>6.8401390342392636</v>
      </c>
      <c r="G230" s="9">
        <f t="shared" si="132"/>
        <v>8.3472197550374805</v>
      </c>
      <c r="H230" s="9">
        <f t="shared" si="132"/>
        <v>12.410044029689169</v>
      </c>
      <c r="I230" s="9"/>
      <c r="J230" s="9"/>
      <c r="K230" s="9"/>
      <c r="L230" s="9">
        <f t="shared" ref="L230:P230" si="133">L14*1000/$F$4/L12</f>
        <v>8.3305314078952115</v>
      </c>
      <c r="M230" s="9">
        <f t="shared" si="133"/>
        <v>6.9238152997628637</v>
      </c>
      <c r="N230" s="9">
        <f t="shared" si="133"/>
        <v>7.3806482470799883</v>
      </c>
      <c r="O230" s="9">
        <f t="shared" si="133"/>
        <v>7.6190564601931623</v>
      </c>
      <c r="P230" s="9">
        <f t="shared" si="133"/>
        <v>7.6838033520418643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>
        <v>2008</v>
      </c>
      <c r="B231" s="65" t="s">
        <v>56</v>
      </c>
      <c r="C231" s="2" t="s">
        <v>460</v>
      </c>
      <c r="D231" s="9">
        <f t="shared" ref="D231:H231" si="134">D25*1000/$F$4/D23</f>
        <v>7.8458929238966109</v>
      </c>
      <c r="E231" s="9">
        <f t="shared" si="134"/>
        <v>6.9809403947641133</v>
      </c>
      <c r="F231" s="9">
        <f t="shared" si="134"/>
        <v>8.4740827873874043</v>
      </c>
      <c r="G231" s="9">
        <f t="shared" si="134"/>
        <v>8.2870715256771064</v>
      </c>
      <c r="H231" s="9">
        <f t="shared" si="134"/>
        <v>9.9629655853165549</v>
      </c>
      <c r="I231" s="9"/>
      <c r="J231" s="9"/>
      <c r="K231" s="9"/>
      <c r="L231" s="9">
        <f t="shared" ref="L231:P231" si="135">L25*1000/$F$4/L23</f>
        <v>6.8441997034992212</v>
      </c>
      <c r="M231" s="9">
        <f t="shared" si="135"/>
        <v>7.3592762949796002</v>
      </c>
      <c r="N231" s="9">
        <f t="shared" si="135"/>
        <v>7.5164230800626308</v>
      </c>
      <c r="O231" s="9">
        <f t="shared" si="135"/>
        <v>7.7917031598666693</v>
      </c>
      <c r="P231" s="9">
        <f t="shared" si="135"/>
        <v>7.8156213270578458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>
        <v>2009</v>
      </c>
      <c r="B232" s="65" t="s">
        <v>56</v>
      </c>
      <c r="C232" s="2" t="s">
        <v>461</v>
      </c>
      <c r="D232" s="9">
        <f t="shared" ref="D232:H232" si="136">D36*1000/$F$4/D34</f>
        <v>6.7391659040768408</v>
      </c>
      <c r="E232" s="9">
        <f t="shared" si="136"/>
        <v>6.8107722306860952</v>
      </c>
      <c r="F232" s="9">
        <f t="shared" si="136"/>
        <v>6.2227873960504327</v>
      </c>
      <c r="G232" s="9">
        <f t="shared" si="136"/>
        <v>8.0379292335814085</v>
      </c>
      <c r="H232" s="9">
        <f t="shared" si="136"/>
        <v>10.918090062111803</v>
      </c>
      <c r="I232" s="9"/>
      <c r="J232" s="9"/>
      <c r="K232" s="9"/>
      <c r="L232" s="9">
        <f t="shared" ref="L232:P232" si="137">L36*1000/$F$4/L34</f>
        <v>5.127153404429861</v>
      </c>
      <c r="M232" s="9">
        <f t="shared" si="137"/>
        <v>6.3856850721991174</v>
      </c>
      <c r="N232" s="9">
        <f t="shared" si="137"/>
        <v>7.1685935946051016</v>
      </c>
      <c r="O232" s="9">
        <f t="shared" si="137"/>
        <v>6.5791834576634951</v>
      </c>
      <c r="P232" s="9">
        <f t="shared" si="137"/>
        <v>6.8218472994595469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3">
      <c r="A233" s="2">
        <v>2010</v>
      </c>
      <c r="B233" s="65" t="s">
        <v>56</v>
      </c>
      <c r="C233" s="2" t="s">
        <v>462</v>
      </c>
      <c r="D233" s="9">
        <f t="shared" ref="D233:H233" si="138">D47*1000/$F$4/D45</f>
        <v>6.840774435306189</v>
      </c>
      <c r="E233" s="9">
        <f t="shared" si="138"/>
        <v>7.0850965889440927</v>
      </c>
      <c r="F233" s="9">
        <f t="shared" si="138"/>
        <v>7.1394132559699317</v>
      </c>
      <c r="G233" s="9">
        <f t="shared" si="138"/>
        <v>8.2903704006392793</v>
      </c>
      <c r="H233" s="9">
        <f t="shared" si="138"/>
        <v>10.16849563827199</v>
      </c>
      <c r="I233" s="9"/>
      <c r="J233" s="9"/>
      <c r="K233" s="9"/>
      <c r="L233" s="9">
        <f t="shared" ref="L233:P233" si="139">L47*1000/$F$4/L45</f>
        <v>8.7029913951624671</v>
      </c>
      <c r="M233" s="9">
        <f t="shared" si="139"/>
        <v>7.4398186722550461</v>
      </c>
      <c r="N233" s="9">
        <f t="shared" si="139"/>
        <v>7.4770402497164108</v>
      </c>
      <c r="O233" s="9">
        <f t="shared" si="139"/>
        <v>7.7637392438095452</v>
      </c>
      <c r="P233" s="9">
        <f t="shared" si="139"/>
        <v>7.4162100548587713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2">
        <v>2011</v>
      </c>
      <c r="B234" s="65" t="s">
        <v>56</v>
      </c>
      <c r="C234" s="2" t="s">
        <v>463</v>
      </c>
      <c r="D234" s="9">
        <f t="shared" ref="D234:H234" si="140">D59*1000/$F$4/D56</f>
        <v>6.8694631795941117</v>
      </c>
      <c r="E234" s="9">
        <f t="shared" si="140"/>
        <v>5.5734868970672302</v>
      </c>
      <c r="F234" s="9">
        <f t="shared" si="140"/>
        <v>7.8498520027085803</v>
      </c>
      <c r="G234" s="9">
        <f t="shared" si="140"/>
        <v>9.4311110882261406</v>
      </c>
      <c r="H234" s="9">
        <f t="shared" si="140"/>
        <v>21.036781081705751</v>
      </c>
      <c r="I234" s="9"/>
      <c r="J234" s="9"/>
      <c r="K234" s="9"/>
      <c r="L234" s="9">
        <f t="shared" ref="L234:P234" si="141">L59*1000/$F$4/L56</f>
        <v>15.132905013857396</v>
      </c>
      <c r="M234" s="9">
        <f t="shared" si="141"/>
        <v>8.4826818570505438</v>
      </c>
      <c r="N234" s="9">
        <f t="shared" si="141"/>
        <v>10.109720141451907</v>
      </c>
      <c r="O234" s="9">
        <f t="shared" si="141"/>
        <v>11.448799555481024</v>
      </c>
      <c r="P234" s="9">
        <f t="shared" si="141"/>
        <v>8.4626694100585365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2">
        <v>2012</v>
      </c>
      <c r="B235" s="65" t="s">
        <v>56</v>
      </c>
      <c r="C235" s="2" t="s">
        <v>464</v>
      </c>
      <c r="D235" s="9">
        <f t="shared" ref="D235:H235" si="142">D69*1000/$F$4/D67</f>
        <v>6.6926288853517271</v>
      </c>
      <c r="E235" s="9">
        <f t="shared" si="142"/>
        <v>6.7829308900737475</v>
      </c>
      <c r="F235" s="9">
        <f t="shared" si="142"/>
        <v>7.8817304843908476</v>
      </c>
      <c r="G235" s="9">
        <f t="shared" si="142"/>
        <v>7.3125314940791126</v>
      </c>
      <c r="H235" s="9">
        <f t="shared" si="142"/>
        <v>10.425852439741329</v>
      </c>
      <c r="I235" s="9"/>
      <c r="J235" s="9"/>
      <c r="K235" s="9"/>
      <c r="L235" s="9">
        <f t="shared" ref="L235:P235" si="143">L69*1000/$F$4/L67</f>
        <v>8.1071855265403645</v>
      </c>
      <c r="M235" s="9">
        <f t="shared" si="143"/>
        <v>8.0297536703167705</v>
      </c>
      <c r="N235" s="9">
        <f t="shared" si="143"/>
        <v>7.656865878342388</v>
      </c>
      <c r="O235" s="9">
        <f t="shared" si="143"/>
        <v>7.2244623655913971</v>
      </c>
      <c r="P235" s="9">
        <f t="shared" si="143"/>
        <v>7.1977633952813012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>
        <v>2013</v>
      </c>
      <c r="B236" s="65" t="s">
        <v>56</v>
      </c>
      <c r="C236" s="2" t="s">
        <v>465</v>
      </c>
      <c r="D236" s="9">
        <f t="shared" ref="D236:H236" si="144">D81*1000/$F$4/D78</f>
        <v>8.5454886473019638</v>
      </c>
      <c r="E236" s="9">
        <f t="shared" si="144"/>
        <v>10.349403433248298</v>
      </c>
      <c r="F236" s="9">
        <f t="shared" si="144"/>
        <v>6.0596533995350219</v>
      </c>
      <c r="G236" s="9">
        <f t="shared" si="144"/>
        <v>8.7348128551832254</v>
      </c>
      <c r="H236" s="9">
        <f t="shared" si="144"/>
        <v>18.079382886956378</v>
      </c>
      <c r="I236" s="4"/>
      <c r="J236" s="4"/>
      <c r="K236" s="4"/>
      <c r="L236" s="9">
        <f t="shared" ref="L236:P236" si="145">L81*1000/$F$4/L78</f>
        <v>14.249150428012216</v>
      </c>
      <c r="M236" s="9">
        <f t="shared" si="145"/>
        <v>10.872925494886521</v>
      </c>
      <c r="N236" s="9">
        <f t="shared" si="145"/>
        <v>12.380078795186504</v>
      </c>
      <c r="O236" s="9">
        <f t="shared" si="145"/>
        <v>13.724996343314357</v>
      </c>
      <c r="P236" s="9">
        <f t="shared" si="145"/>
        <v>10.557805051054183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>
        <v>2014</v>
      </c>
      <c r="B237" s="65" t="s">
        <v>56</v>
      </c>
      <c r="C237" s="2" t="s">
        <v>466</v>
      </c>
      <c r="D237" s="9">
        <f t="shared" ref="D237:H237" si="146">D91*1000/$F$4/D89</f>
        <v>7.8921294617677864</v>
      </c>
      <c r="E237" s="9">
        <f t="shared" si="146"/>
        <v>10.227458681066928</v>
      </c>
      <c r="F237" s="9">
        <f t="shared" si="146"/>
        <v>9.2464251045400232</v>
      </c>
      <c r="G237" s="9">
        <f t="shared" si="146"/>
        <v>9.4498640505584941</v>
      </c>
      <c r="H237" s="9">
        <f t="shared" si="146"/>
        <v>10.736476608187134</v>
      </c>
      <c r="I237" s="9"/>
      <c r="J237" s="9"/>
      <c r="K237" s="9"/>
      <c r="L237" s="9">
        <f t="shared" ref="L237:P237" si="147">L91*1000/$F$4/L89</f>
        <v>9.0479864785420325</v>
      </c>
      <c r="M237" s="9">
        <f t="shared" si="147"/>
        <v>9.4061575496387313</v>
      </c>
      <c r="N237" s="9">
        <f t="shared" si="147"/>
        <v>9.7369194591416814</v>
      </c>
      <c r="O237" s="9">
        <f t="shared" si="147"/>
        <v>9.1549718831127986</v>
      </c>
      <c r="P237" s="9">
        <f t="shared" si="147"/>
        <v>9.4789462747422846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>
        <v>2015</v>
      </c>
      <c r="B238" s="65" t="s">
        <v>56</v>
      </c>
      <c r="C238" s="2" t="s">
        <v>467</v>
      </c>
      <c r="D238" s="9">
        <f t="shared" ref="D238:H238" si="148">D102*1000/$F$4/D100</f>
        <v>8.9759067280997105</v>
      </c>
      <c r="E238" s="9">
        <f t="shared" si="148"/>
        <v>8.6992384838430041</v>
      </c>
      <c r="F238" s="9">
        <f t="shared" si="148"/>
        <v>8.8547333696023216</v>
      </c>
      <c r="G238" s="9">
        <f t="shared" si="148"/>
        <v>9.6220972957084054</v>
      </c>
      <c r="H238" s="9">
        <f t="shared" si="148"/>
        <v>12.928725989187944</v>
      </c>
      <c r="I238" s="9"/>
      <c r="J238" s="9"/>
      <c r="K238" s="9"/>
      <c r="L238" s="9">
        <f t="shared" ref="L238:P238" si="149">L102*1000/$F$4/L100</f>
        <v>7.4154240820907491</v>
      </c>
      <c r="M238" s="9">
        <f t="shared" si="149"/>
        <v>8.4360184530357785</v>
      </c>
      <c r="N238" s="9">
        <f t="shared" si="149"/>
        <v>9.6555797891675752</v>
      </c>
      <c r="O238" s="9">
        <f t="shared" si="149"/>
        <v>9.3005952380952372</v>
      </c>
      <c r="P238" s="9">
        <f t="shared" si="149"/>
        <v>9.5871625210653981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>
        <v>2016</v>
      </c>
      <c r="B239" s="65" t="s">
        <v>56</v>
      </c>
      <c r="C239" s="2" t="s">
        <v>468</v>
      </c>
      <c r="D239" s="9">
        <f t="shared" ref="D239:H239" si="150">D113*1000/$F$4/D111</f>
        <v>7.6695384695096669</v>
      </c>
      <c r="E239" s="9">
        <f t="shared" si="150"/>
        <v>9.2728795434734135</v>
      </c>
      <c r="F239" s="9">
        <f t="shared" si="150"/>
        <v>8.9034269621827207</v>
      </c>
      <c r="G239" s="9">
        <f t="shared" si="150"/>
        <v>9.5481805279982357</v>
      </c>
      <c r="H239" s="9">
        <f t="shared" si="150"/>
        <v>24.12763112491373</v>
      </c>
      <c r="I239" s="9"/>
      <c r="J239" s="9"/>
      <c r="K239" s="9"/>
      <c r="L239" s="9">
        <f t="shared" ref="L239:P239" si="151">L113*1000/$F$4/L111</f>
        <v>8.3924563091229754</v>
      </c>
      <c r="M239" s="9">
        <f t="shared" si="151"/>
        <v>8.8136953896362495</v>
      </c>
      <c r="N239" s="9">
        <f t="shared" si="151"/>
        <v>8.8163084011792492</v>
      </c>
      <c r="O239" s="9">
        <f t="shared" si="151"/>
        <v>8.2346771899886235</v>
      </c>
      <c r="P239" s="9">
        <f t="shared" si="151"/>
        <v>9.064104811881224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>
        <v>2017</v>
      </c>
      <c r="B240" s="65" t="s">
        <v>56</v>
      </c>
      <c r="C240" s="2" t="s">
        <v>469</v>
      </c>
      <c r="D240" s="9">
        <f t="shared" ref="D240:H240" si="152">D124*1000/$F$4/D122</f>
        <v>8.6247807340349851</v>
      </c>
      <c r="E240" s="9">
        <f t="shared" si="152"/>
        <v>7.8988143803731257</v>
      </c>
      <c r="F240" s="9">
        <f t="shared" si="152"/>
        <v>8.9734185716328554</v>
      </c>
      <c r="G240" s="9">
        <f t="shared" si="152"/>
        <v>8.1850629744651471</v>
      </c>
      <c r="H240" s="9">
        <f t="shared" si="152"/>
        <v>10.21338425019932</v>
      </c>
      <c r="I240" s="9"/>
      <c r="J240" s="9"/>
      <c r="K240" s="9"/>
      <c r="L240" s="9">
        <f t="shared" ref="L240:P240" si="153">L124*1000/$F$4/L122</f>
        <v>10.383685832489023</v>
      </c>
      <c r="M240" s="9">
        <f t="shared" si="153"/>
        <v>8.8738146773861057</v>
      </c>
      <c r="N240" s="9">
        <f t="shared" si="153"/>
        <v>9.1143194866599107</v>
      </c>
      <c r="O240" s="9">
        <f t="shared" si="153"/>
        <v>8.7098597566058178</v>
      </c>
      <c r="P240" s="9">
        <f t="shared" si="153"/>
        <v>8.9045322475719981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>
        <v>2018</v>
      </c>
      <c r="B241" s="65" t="s">
        <v>56</v>
      </c>
      <c r="C241" s="2" t="s">
        <v>470</v>
      </c>
      <c r="D241" s="9">
        <f t="shared" ref="D241:H241" si="154">D135*1000/$F$4/D133</f>
        <v>8.8880830328977005</v>
      </c>
      <c r="E241" s="9">
        <f t="shared" si="154"/>
        <v>7.3264459040321102</v>
      </c>
      <c r="F241" s="9">
        <f t="shared" si="154"/>
        <v>7.5537978370009622</v>
      </c>
      <c r="G241" s="9">
        <f t="shared" si="154"/>
        <v>10.108209950646925</v>
      </c>
      <c r="H241" s="9">
        <f t="shared" si="154"/>
        <v>24.688602292768959</v>
      </c>
      <c r="I241" s="9"/>
      <c r="J241" s="9"/>
      <c r="K241" s="9"/>
      <c r="L241" s="9">
        <f t="shared" ref="L241:P241" si="155">L135*1000/$F$4/L133</f>
        <v>12.669645545661805</v>
      </c>
      <c r="M241" s="9">
        <f t="shared" si="155"/>
        <v>8.4095372921130487</v>
      </c>
      <c r="N241" s="9">
        <f t="shared" si="155"/>
        <v>9.3226410934744273</v>
      </c>
      <c r="O241" s="9">
        <f t="shared" si="155"/>
        <v>8.4065687221526044</v>
      </c>
      <c r="P241" s="9">
        <f t="shared" si="155"/>
        <v>8.8988141617694652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>
        <v>2019</v>
      </c>
      <c r="B242" s="65" t="s">
        <v>56</v>
      </c>
      <c r="C242" s="2" t="s">
        <v>471</v>
      </c>
      <c r="D242" s="9">
        <f t="shared" ref="D242:H242" si="156">D146*1000/$F$4/D144</f>
        <v>7.8730731074481062</v>
      </c>
      <c r="E242" s="9">
        <f t="shared" si="156"/>
        <v>9.3266513803965161</v>
      </c>
      <c r="F242" s="9">
        <f t="shared" si="156"/>
        <v>8.0931105516678983</v>
      </c>
      <c r="G242" s="9">
        <f t="shared" si="156"/>
        <v>9.9840255591054312</v>
      </c>
      <c r="H242" s="9">
        <f t="shared" si="156"/>
        <v>13.303383062085594</v>
      </c>
      <c r="I242" s="9"/>
      <c r="J242" s="9"/>
      <c r="K242" s="9"/>
      <c r="L242" s="9">
        <f t="shared" ref="L242:P242" si="157">L146*1000/$F$4/L144</f>
        <v>10.686289983164983</v>
      </c>
      <c r="M242" s="9">
        <f t="shared" si="157"/>
        <v>8.8872354497354493</v>
      </c>
      <c r="N242" s="9">
        <f t="shared" si="157"/>
        <v>9.1319651989108053</v>
      </c>
      <c r="O242" s="9">
        <f t="shared" si="157"/>
        <v>8.8223946986201867</v>
      </c>
      <c r="P242" s="9">
        <f t="shared" si="157"/>
        <v>9.252532830344844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>
        <v>2020</v>
      </c>
      <c r="B243" s="65" t="s">
        <v>56</v>
      </c>
      <c r="C243" s="2" t="s">
        <v>472</v>
      </c>
      <c r="D243" s="9">
        <f t="shared" ref="D243:H243" si="158">D157*1000/$F$4/D155</f>
        <v>9.4317956349206344</v>
      </c>
      <c r="E243" s="9">
        <f t="shared" si="158"/>
        <v>8.7845857891290109</v>
      </c>
      <c r="F243" s="9">
        <f t="shared" si="158"/>
        <v>9.2103394617255514</v>
      </c>
      <c r="G243" s="9">
        <f t="shared" si="158"/>
        <v>7.8361938240970508</v>
      </c>
      <c r="H243" s="9">
        <f t="shared" si="158"/>
        <v>12.00259731195661</v>
      </c>
      <c r="I243" s="9"/>
      <c r="J243" s="9"/>
      <c r="K243" s="9"/>
      <c r="L243" s="9">
        <f t="shared" ref="L243:P243" si="159">L157*1000/$F$4/L155</f>
        <v>16.622340425531913</v>
      </c>
      <c r="M243" s="9">
        <f t="shared" si="159"/>
        <v>9.7561799510724239</v>
      </c>
      <c r="N243" s="9">
        <f t="shared" si="159"/>
        <v>9.3610740875371903</v>
      </c>
      <c r="O243" s="9">
        <f t="shared" si="159"/>
        <v>9.079669611096163</v>
      </c>
      <c r="P243" s="9">
        <f t="shared" si="159"/>
        <v>9.6106042499864603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3">
      <c r="A244" s="2">
        <v>2021</v>
      </c>
      <c r="B244" s="65" t="s">
        <v>56</v>
      </c>
      <c r="C244" s="2" t="s">
        <v>473</v>
      </c>
      <c r="D244" s="9">
        <f t="shared" ref="D244:H244" si="160">D168*1000/$F$4/D166</f>
        <v>7.8515097116287587</v>
      </c>
      <c r="E244" s="9">
        <f t="shared" si="160"/>
        <v>7.0310095413973519</v>
      </c>
      <c r="F244" s="9">
        <f t="shared" si="160"/>
        <v>7.9050486959778983</v>
      </c>
      <c r="G244" s="9">
        <f t="shared" si="160"/>
        <v>8.7688989404028987</v>
      </c>
      <c r="H244" s="9">
        <f t="shared" si="160"/>
        <v>12.583339495218377</v>
      </c>
      <c r="I244" s="9"/>
      <c r="J244" s="9"/>
      <c r="K244" s="9"/>
      <c r="L244" s="9">
        <f t="shared" ref="L244:P244" si="161">L168*1000/$F$4/L166</f>
        <v>8.896886581357947</v>
      </c>
      <c r="M244" s="9">
        <f t="shared" si="161"/>
        <v>9.1312421475464944</v>
      </c>
      <c r="N244" s="9">
        <f t="shared" si="161"/>
        <v>8.0264645134009882</v>
      </c>
      <c r="O244" s="9">
        <f t="shared" si="161"/>
        <v>7.3591568499127398</v>
      </c>
      <c r="P244" s="9">
        <f t="shared" si="161"/>
        <v>8.0563501638627244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65" t="s">
        <v>373</v>
      </c>
      <c r="B246" s="65" t="s">
        <v>56</v>
      </c>
      <c r="C246" s="2" t="s">
        <v>474</v>
      </c>
      <c r="D246" s="9">
        <f t="shared" ref="D246:H246" si="162">AVERAGE(D230:D232)</f>
        <v>7.4770930811012066</v>
      </c>
      <c r="E246" s="9">
        <f t="shared" si="162"/>
        <v>7.0568851458815685</v>
      </c>
      <c r="F246" s="9">
        <f t="shared" si="162"/>
        <v>7.1790030725590332</v>
      </c>
      <c r="G246" s="9">
        <f t="shared" si="162"/>
        <v>8.2240735047653306</v>
      </c>
      <c r="H246" s="9">
        <f t="shared" si="162"/>
        <v>11.097033225705843</v>
      </c>
      <c r="I246" s="9"/>
      <c r="J246" s="9"/>
      <c r="K246" s="9"/>
      <c r="L246" s="9">
        <f t="shared" ref="L246:P246" si="163">AVERAGE(L230:L232)</f>
        <v>6.7672948386080982</v>
      </c>
      <c r="M246" s="9">
        <f t="shared" si="163"/>
        <v>6.889592222313861</v>
      </c>
      <c r="N246" s="9">
        <f t="shared" si="163"/>
        <v>7.3552216405825739</v>
      </c>
      <c r="O246" s="9">
        <f t="shared" si="163"/>
        <v>7.3299810259077747</v>
      </c>
      <c r="P246" s="9">
        <f t="shared" si="163"/>
        <v>7.4404239928530869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3">
      <c r="A247" s="65" t="s">
        <v>375</v>
      </c>
      <c r="B247" s="65" t="s">
        <v>56</v>
      </c>
      <c r="C247" s="2" t="s">
        <v>475</v>
      </c>
      <c r="D247" s="9">
        <f t="shared" ref="D247:H247" si="164">AVERAGE(D231:D233)</f>
        <v>7.1419444210932141</v>
      </c>
      <c r="E247" s="9">
        <f t="shared" si="164"/>
        <v>6.9589364047981013</v>
      </c>
      <c r="F247" s="9">
        <f t="shared" si="164"/>
        <v>7.2787611464692565</v>
      </c>
      <c r="G247" s="9">
        <f t="shared" si="164"/>
        <v>8.2051237199659308</v>
      </c>
      <c r="H247" s="9">
        <f t="shared" si="164"/>
        <v>10.349850428566782</v>
      </c>
      <c r="I247" s="9"/>
      <c r="J247" s="9"/>
      <c r="K247" s="9"/>
      <c r="L247" s="9">
        <f t="shared" ref="L247:P247" si="165">AVERAGE(L231:L233)</f>
        <v>6.8914481676971837</v>
      </c>
      <c r="M247" s="9">
        <f t="shared" si="165"/>
        <v>7.0615933464779213</v>
      </c>
      <c r="N247" s="9">
        <f t="shared" si="165"/>
        <v>7.3873523081280474</v>
      </c>
      <c r="O247" s="9">
        <f t="shared" si="165"/>
        <v>7.3782086204465704</v>
      </c>
      <c r="P247" s="9">
        <f t="shared" si="165"/>
        <v>7.3512262271253874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3">
      <c r="A248" s="2" t="s">
        <v>377</v>
      </c>
      <c r="B248" s="65" t="s">
        <v>56</v>
      </c>
      <c r="C248" s="2" t="s">
        <v>476</v>
      </c>
      <c r="D248" s="9">
        <f t="shared" ref="D248:H248" si="166">AVERAGE(D232:D234)</f>
        <v>6.8164678396590475</v>
      </c>
      <c r="E248" s="9">
        <f t="shared" si="166"/>
        <v>6.4897852388991391</v>
      </c>
      <c r="F248" s="9">
        <f t="shared" si="166"/>
        <v>7.070684218242981</v>
      </c>
      <c r="G248" s="9">
        <f t="shared" si="166"/>
        <v>8.5864702408156095</v>
      </c>
      <c r="H248" s="9">
        <f t="shared" si="166"/>
        <v>14.041122260696516</v>
      </c>
      <c r="I248" s="9"/>
      <c r="J248" s="9"/>
      <c r="K248" s="9"/>
      <c r="L248" s="9">
        <f t="shared" ref="L248:P248" si="167">AVERAGE(L232:L234)</f>
        <v>9.6543499378165745</v>
      </c>
      <c r="M248" s="9">
        <f t="shared" si="167"/>
        <v>7.4360618671682355</v>
      </c>
      <c r="N248" s="9">
        <f t="shared" si="167"/>
        <v>8.2517846619244732</v>
      </c>
      <c r="O248" s="9">
        <f t="shared" si="167"/>
        <v>8.5972407523180205</v>
      </c>
      <c r="P248" s="9">
        <f t="shared" si="167"/>
        <v>7.5669089214589507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3">
      <c r="A249" s="2" t="s">
        <v>379</v>
      </c>
      <c r="B249" s="65" t="s">
        <v>56</v>
      </c>
      <c r="C249" s="2" t="s">
        <v>477</v>
      </c>
      <c r="D249" s="9">
        <f t="shared" ref="D249:H249" si="168">AVERAGE(D233:D235)</f>
        <v>6.800955500084009</v>
      </c>
      <c r="E249" s="9">
        <f t="shared" si="168"/>
        <v>6.4805047920283565</v>
      </c>
      <c r="F249" s="9">
        <f t="shared" si="168"/>
        <v>7.6236652476897859</v>
      </c>
      <c r="G249" s="9">
        <f t="shared" si="168"/>
        <v>8.3446709943148445</v>
      </c>
      <c r="H249" s="9">
        <f t="shared" si="168"/>
        <v>13.877043053239689</v>
      </c>
      <c r="I249" s="9"/>
      <c r="J249" s="9"/>
      <c r="K249" s="9"/>
      <c r="L249" s="9">
        <f t="shared" ref="L249:P249" si="169">AVERAGE(L233:L235)</f>
        <v>10.647693978520076</v>
      </c>
      <c r="M249" s="9">
        <f t="shared" si="169"/>
        <v>7.9840847332074532</v>
      </c>
      <c r="N249" s="9">
        <f t="shared" si="169"/>
        <v>8.4145420898369014</v>
      </c>
      <c r="O249" s="9">
        <f t="shared" si="169"/>
        <v>8.8123337216273221</v>
      </c>
      <c r="P249" s="9">
        <f t="shared" si="169"/>
        <v>7.6922142867328702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3">
      <c r="A250" s="2" t="s">
        <v>381</v>
      </c>
      <c r="B250" s="65" t="s">
        <v>56</v>
      </c>
      <c r="C250" s="2" t="s">
        <v>478</v>
      </c>
      <c r="D250" s="9">
        <f t="shared" ref="D250:H250" si="170">AVERAGE(D234:D236)</f>
        <v>7.3691935707492675</v>
      </c>
      <c r="E250" s="9">
        <f t="shared" si="170"/>
        <v>7.5686070734630917</v>
      </c>
      <c r="F250" s="9">
        <f t="shared" si="170"/>
        <v>7.2637452955448163</v>
      </c>
      <c r="G250" s="9">
        <f t="shared" si="170"/>
        <v>8.4928184791628265</v>
      </c>
      <c r="H250" s="9">
        <f t="shared" si="170"/>
        <v>16.514005469467818</v>
      </c>
      <c r="I250" s="9"/>
      <c r="J250" s="9"/>
      <c r="K250" s="9"/>
      <c r="L250" s="9">
        <f t="shared" ref="L250:P250" si="171">AVERAGE(L234:L236)</f>
        <v>12.496413656136658</v>
      </c>
      <c r="M250" s="9">
        <f t="shared" si="171"/>
        <v>9.1284536740846125</v>
      </c>
      <c r="N250" s="9">
        <f t="shared" si="171"/>
        <v>10.048888271660267</v>
      </c>
      <c r="O250" s="9">
        <f t="shared" si="171"/>
        <v>10.799419421462259</v>
      </c>
      <c r="P250" s="9">
        <f t="shared" si="171"/>
        <v>8.7394126187980063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3">
      <c r="A251" s="2" t="s">
        <v>383</v>
      </c>
      <c r="B251" s="65" t="s">
        <v>56</v>
      </c>
      <c r="C251" s="2" t="s">
        <v>479</v>
      </c>
      <c r="D251" s="9">
        <f t="shared" ref="D251:H251" si="172">AVERAGE(D235:D237)</f>
        <v>7.7100823314738252</v>
      </c>
      <c r="E251" s="9">
        <f t="shared" si="172"/>
        <v>9.1199310014629908</v>
      </c>
      <c r="F251" s="9">
        <f t="shared" si="172"/>
        <v>7.7292696628219639</v>
      </c>
      <c r="G251" s="9">
        <f t="shared" si="172"/>
        <v>8.4990694666069455</v>
      </c>
      <c r="H251" s="9">
        <f t="shared" si="172"/>
        <v>13.080570644961613</v>
      </c>
      <c r="I251" s="9"/>
      <c r="J251" s="9"/>
      <c r="K251" s="9"/>
      <c r="L251" s="9">
        <f t="shared" ref="L251:P251" si="173">AVERAGE(L235:L237)</f>
        <v>10.468107477698204</v>
      </c>
      <c r="M251" s="9">
        <f t="shared" si="173"/>
        <v>9.4362789049473417</v>
      </c>
      <c r="N251" s="9">
        <f t="shared" si="173"/>
        <v>9.9246213775568588</v>
      </c>
      <c r="O251" s="9">
        <f t="shared" si="173"/>
        <v>10.034810197339517</v>
      </c>
      <c r="P251" s="9">
        <f t="shared" si="173"/>
        <v>9.0781715736925896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3">
      <c r="A252" s="2" t="s">
        <v>385</v>
      </c>
      <c r="B252" s="65" t="s">
        <v>56</v>
      </c>
      <c r="C252" s="2" t="s">
        <v>480</v>
      </c>
      <c r="D252" s="9">
        <f t="shared" ref="D252:H252" si="174">AVERAGE(D236:D238)</f>
        <v>8.4711749457231544</v>
      </c>
      <c r="E252" s="9">
        <f t="shared" si="174"/>
        <v>9.7587001993860767</v>
      </c>
      <c r="F252" s="9">
        <f t="shared" si="174"/>
        <v>8.0536039578924559</v>
      </c>
      <c r="G252" s="9">
        <f t="shared" si="174"/>
        <v>9.2689247338167089</v>
      </c>
      <c r="H252" s="9">
        <f t="shared" si="174"/>
        <v>13.914861828110487</v>
      </c>
      <c r="I252" s="9"/>
      <c r="J252" s="9"/>
      <c r="K252" s="9"/>
      <c r="L252" s="9">
        <f t="shared" ref="L252:P252" si="175">AVERAGE(L236:L238)</f>
        <v>10.237520329548333</v>
      </c>
      <c r="M252" s="9">
        <f t="shared" si="175"/>
        <v>9.5717004991870098</v>
      </c>
      <c r="N252" s="9">
        <f t="shared" si="175"/>
        <v>10.590859347831922</v>
      </c>
      <c r="O252" s="9">
        <f t="shared" si="175"/>
        <v>10.726854488174132</v>
      </c>
      <c r="P252" s="9">
        <f t="shared" si="175"/>
        <v>9.8746379489539553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3">
      <c r="A253" s="2" t="s">
        <v>387</v>
      </c>
      <c r="B253" s="65" t="s">
        <v>56</v>
      </c>
      <c r="C253" s="2" t="s">
        <v>481</v>
      </c>
      <c r="D253" s="9">
        <f t="shared" ref="D253:H253" si="176">AVERAGE(D237:D239)</f>
        <v>8.1791915531257207</v>
      </c>
      <c r="E253" s="9">
        <f t="shared" si="176"/>
        <v>9.399858902794449</v>
      </c>
      <c r="F253" s="9">
        <f t="shared" si="176"/>
        <v>9.0015284787750218</v>
      </c>
      <c r="G253" s="9">
        <f t="shared" si="176"/>
        <v>9.5400472914217129</v>
      </c>
      <c r="H253" s="9">
        <f t="shared" si="176"/>
        <v>15.930944574096268</v>
      </c>
      <c r="I253" s="9"/>
      <c r="J253" s="9"/>
      <c r="K253" s="9"/>
      <c r="L253" s="9">
        <f t="shared" ref="L253:P253" si="177">AVERAGE(L237:L239)</f>
        <v>8.2852889565852532</v>
      </c>
      <c r="M253" s="9">
        <f t="shared" si="177"/>
        <v>8.8852904641035853</v>
      </c>
      <c r="N253" s="9">
        <f t="shared" si="177"/>
        <v>9.4029358831628347</v>
      </c>
      <c r="O253" s="9">
        <f t="shared" si="177"/>
        <v>8.8967481037322198</v>
      </c>
      <c r="P253" s="9">
        <f t="shared" si="177"/>
        <v>9.3767378692296361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3">
      <c r="A254" s="2" t="s">
        <v>389</v>
      </c>
      <c r="B254" s="65" t="s">
        <v>56</v>
      </c>
      <c r="C254" s="2" t="s">
        <v>482</v>
      </c>
      <c r="D254" s="9">
        <f t="shared" ref="D254:H254" si="178">AVERAGE(D238:D240)</f>
        <v>8.4234086438814533</v>
      </c>
      <c r="E254" s="9">
        <f t="shared" si="178"/>
        <v>8.6236441358965141</v>
      </c>
      <c r="F254" s="9">
        <f t="shared" si="178"/>
        <v>8.9105263011392992</v>
      </c>
      <c r="G254" s="9">
        <f t="shared" si="178"/>
        <v>9.1184469327239288</v>
      </c>
      <c r="H254" s="9">
        <f t="shared" si="178"/>
        <v>15.756580454766997</v>
      </c>
      <c r="I254" s="9"/>
      <c r="J254" s="9"/>
      <c r="K254" s="9"/>
      <c r="L254" s="9">
        <f t="shared" ref="L254:P254" si="179">AVERAGE(L238:L240)</f>
        <v>8.7305220745675829</v>
      </c>
      <c r="M254" s="9">
        <f t="shared" si="179"/>
        <v>8.7078428400193797</v>
      </c>
      <c r="N254" s="9">
        <f t="shared" si="179"/>
        <v>9.195402559002245</v>
      </c>
      <c r="O254" s="9">
        <f t="shared" si="179"/>
        <v>8.7483773948965595</v>
      </c>
      <c r="P254" s="9">
        <f t="shared" si="179"/>
        <v>9.1852665268395413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3">
      <c r="A255" s="2" t="s">
        <v>391</v>
      </c>
      <c r="B255" s="65" t="s">
        <v>56</v>
      </c>
      <c r="C255" s="2" t="s">
        <v>483</v>
      </c>
      <c r="D255" s="9">
        <f t="shared" ref="D255:H255" si="180">AVERAGE(D239:D241)</f>
        <v>8.3941340788141172</v>
      </c>
      <c r="E255" s="9">
        <f t="shared" si="180"/>
        <v>8.1660466092928825</v>
      </c>
      <c r="F255" s="9">
        <f t="shared" si="180"/>
        <v>8.4768811236055139</v>
      </c>
      <c r="G255" s="9">
        <f t="shared" si="180"/>
        <v>9.2804844843701009</v>
      </c>
      <c r="H255" s="9">
        <f t="shared" si="180"/>
        <v>19.676539222627337</v>
      </c>
      <c r="I255" s="9"/>
      <c r="J255" s="9"/>
      <c r="K255" s="9"/>
      <c r="L255" s="9">
        <f t="shared" ref="L255:P255" si="181">AVERAGE(L239:L241)</f>
        <v>10.481929229091268</v>
      </c>
      <c r="M255" s="9">
        <f t="shared" si="181"/>
        <v>8.6990157863784674</v>
      </c>
      <c r="N255" s="9">
        <f t="shared" si="181"/>
        <v>9.0844229937711951</v>
      </c>
      <c r="O255" s="9">
        <f t="shared" si="181"/>
        <v>8.4503685562490158</v>
      </c>
      <c r="P255" s="9">
        <f t="shared" si="181"/>
        <v>8.9558170737408958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3">
      <c r="A256" s="2" t="s">
        <v>393</v>
      </c>
      <c r="B256" s="65" t="s">
        <v>56</v>
      </c>
      <c r="C256" s="2" t="s">
        <v>484</v>
      </c>
      <c r="D256" s="9">
        <f t="shared" ref="D256:H256" si="182">AVERAGE(D240:D242)</f>
        <v>8.4619789581269309</v>
      </c>
      <c r="E256" s="9">
        <f t="shared" si="182"/>
        <v>8.1839705549339161</v>
      </c>
      <c r="F256" s="9">
        <f t="shared" si="182"/>
        <v>8.2067756534339065</v>
      </c>
      <c r="G256" s="9">
        <f t="shared" si="182"/>
        <v>9.4257661614058339</v>
      </c>
      <c r="H256" s="9">
        <f t="shared" si="182"/>
        <v>16.068456535017958</v>
      </c>
      <c r="I256" s="9"/>
      <c r="J256" s="9"/>
      <c r="K256" s="9"/>
      <c r="L256" s="9">
        <f t="shared" ref="L256:P256" si="183">AVERAGE(L240:L242)</f>
        <v>11.246540453771937</v>
      </c>
      <c r="M256" s="9">
        <f t="shared" si="183"/>
        <v>8.7235291397448673</v>
      </c>
      <c r="N256" s="9">
        <f t="shared" si="183"/>
        <v>9.1896419263483811</v>
      </c>
      <c r="O256" s="9">
        <f t="shared" si="183"/>
        <v>8.6462743924595369</v>
      </c>
      <c r="P256" s="9">
        <f t="shared" si="183"/>
        <v>9.0186264132287697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3">
      <c r="A257" s="2" t="s">
        <v>395</v>
      </c>
      <c r="B257" s="65" t="s">
        <v>56</v>
      </c>
      <c r="C257" s="2" t="s">
        <v>485</v>
      </c>
      <c r="D257" s="9">
        <f t="shared" ref="D257:H257" si="184">AVERAGE(D241:D243)</f>
        <v>8.7309839250888146</v>
      </c>
      <c r="E257" s="9">
        <f t="shared" si="184"/>
        <v>8.4792276911858782</v>
      </c>
      <c r="F257" s="9">
        <f t="shared" si="184"/>
        <v>8.2857492834648045</v>
      </c>
      <c r="G257" s="9">
        <f t="shared" si="184"/>
        <v>9.3094764446164699</v>
      </c>
      <c r="H257" s="9">
        <f t="shared" si="184"/>
        <v>16.664860888937053</v>
      </c>
      <c r="I257" s="9"/>
      <c r="J257" s="9"/>
      <c r="K257" s="9"/>
      <c r="L257" s="9">
        <f t="shared" ref="L257:P257" si="185">AVERAGE(L241:L243)</f>
        <v>13.326091984786233</v>
      </c>
      <c r="M257" s="9">
        <f t="shared" si="185"/>
        <v>9.0176508976403085</v>
      </c>
      <c r="N257" s="9">
        <f t="shared" si="185"/>
        <v>9.2718934599741409</v>
      </c>
      <c r="O257" s="9">
        <f t="shared" si="185"/>
        <v>8.7695443439563192</v>
      </c>
      <c r="P257" s="9">
        <f t="shared" si="185"/>
        <v>9.2539837473669238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3">
      <c r="A258" s="2" t="s">
        <v>397</v>
      </c>
      <c r="B258" s="65" t="s">
        <v>56</v>
      </c>
      <c r="C258" s="2" t="s">
        <v>486</v>
      </c>
      <c r="D258" s="9">
        <f t="shared" ref="D258:H258" si="186">AVERAGE(D242:D244)</f>
        <v>8.3854594846658319</v>
      </c>
      <c r="E258" s="9">
        <f t="shared" si="186"/>
        <v>8.3807489036409599</v>
      </c>
      <c r="F258" s="9">
        <f t="shared" si="186"/>
        <v>8.4028329031237821</v>
      </c>
      <c r="G258" s="9">
        <f t="shared" si="186"/>
        <v>8.8630394412017939</v>
      </c>
      <c r="H258" s="9">
        <f t="shared" si="186"/>
        <v>12.629773289753528</v>
      </c>
      <c r="I258" s="9"/>
      <c r="J258" s="9"/>
      <c r="K258" s="9"/>
      <c r="L258" s="9">
        <f t="shared" ref="L258:P258" si="187">AVERAGE(L242:L244)</f>
        <v>12.068505663351615</v>
      </c>
      <c r="M258" s="9">
        <f t="shared" si="187"/>
        <v>9.2582191827847904</v>
      </c>
      <c r="N258" s="9">
        <f t="shared" si="187"/>
        <v>8.8398345999496613</v>
      </c>
      <c r="O258" s="9">
        <f t="shared" si="187"/>
        <v>8.4204070532096971</v>
      </c>
      <c r="P258" s="9">
        <f t="shared" si="187"/>
        <v>8.9731624147313429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2.7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25</vt:i4>
      </vt:variant>
      <vt:variant>
        <vt:lpstr>Nimetyt alueet</vt:lpstr>
      </vt:variant>
      <vt:variant>
        <vt:i4>44</vt:i4>
      </vt:variant>
    </vt:vector>
  </HeadingPairs>
  <TitlesOfParts>
    <vt:vector size="69" baseType="lpstr">
      <vt:lpstr>2026</vt:lpstr>
      <vt:lpstr>Sähkönkulutus</vt:lpstr>
      <vt:lpstr>Norm.Lämmityssähkö</vt:lpstr>
      <vt:lpstr>Astepäiväseuranta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Naapurit I</vt:lpstr>
      <vt:lpstr>Naapurit II</vt:lpstr>
      <vt:lpstr>'2007'!Print_Area_0</vt:lpstr>
      <vt:lpstr>'2008'!Print_Area_0</vt:lpstr>
      <vt:lpstr>'2009'!Print_Area_0</vt:lpstr>
      <vt:lpstr>'2010'!Print_Area_0</vt:lpstr>
      <vt:lpstr>'2011'!Print_Area_0</vt:lpstr>
      <vt:lpstr>'2012'!Print_Area_0</vt:lpstr>
      <vt:lpstr>'2013'!Print_Area_0</vt:lpstr>
      <vt:lpstr>'2014'!Print_Area_0</vt:lpstr>
      <vt:lpstr>'2015'!Print_Area_0</vt:lpstr>
      <vt:lpstr>'2016'!Print_Area_0</vt:lpstr>
      <vt:lpstr>'2017'!Print_Area_0</vt:lpstr>
      <vt:lpstr>'2018'!Print_Area_0</vt:lpstr>
      <vt:lpstr>'2019'!Print_Area_0</vt:lpstr>
      <vt:lpstr>'2020'!Print_Area_0</vt:lpstr>
      <vt:lpstr>'2021'!Print_Area_0</vt:lpstr>
      <vt:lpstr>'2022'!Print_Area_0</vt:lpstr>
      <vt:lpstr>'2023'!Print_Area_0</vt:lpstr>
      <vt:lpstr>'2024'!Print_Area_0</vt:lpstr>
      <vt:lpstr>'2025'!Print_Area_0</vt:lpstr>
      <vt:lpstr>'2026'!Print_Area_0</vt:lpstr>
      <vt:lpstr>'Naapurit I'!Print_Area_0</vt:lpstr>
      <vt:lpstr>'Naapurit II'!Print_Area_0</vt:lpstr>
      <vt:lpstr>'2007'!Print_Area_0_0</vt:lpstr>
      <vt:lpstr>'2008'!Print_Area_0_0</vt:lpstr>
      <vt:lpstr>'2009'!Print_Area_0_0</vt:lpstr>
      <vt:lpstr>'2010'!Print_Area_0_0</vt:lpstr>
      <vt:lpstr>'2011'!Print_Area_0_0</vt:lpstr>
      <vt:lpstr>'2012'!Print_Area_0_0</vt:lpstr>
      <vt:lpstr>'2013'!Print_Area_0_0</vt:lpstr>
      <vt:lpstr>'2014'!Print_Area_0_0</vt:lpstr>
      <vt:lpstr>'2015'!Print_Area_0_0</vt:lpstr>
      <vt:lpstr>'2016'!Print_Area_0_0</vt:lpstr>
      <vt:lpstr>'2017'!Print_Area_0_0</vt:lpstr>
      <vt:lpstr>'2018'!Print_Area_0_0</vt:lpstr>
      <vt:lpstr>'2019'!Print_Area_0_0</vt:lpstr>
      <vt:lpstr>'2020'!Print_Area_0_0</vt:lpstr>
      <vt:lpstr>'2021'!Print_Area_0_0</vt:lpstr>
      <vt:lpstr>'2022'!Print_Area_0_0</vt:lpstr>
      <vt:lpstr>'2023'!Print_Area_0_0</vt:lpstr>
      <vt:lpstr>'2024'!Print_Area_0_0</vt:lpstr>
      <vt:lpstr>'2025'!Print_Area_0_0</vt:lpstr>
      <vt:lpstr>'2026'!Print_Area_0_0</vt:lpstr>
      <vt:lpstr>'Naapurit I'!Print_Area_0_0</vt:lpstr>
      <vt:lpstr>'Naapurit II'!Print_Area_0_0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janti</dc:creator>
  <cp:lastModifiedBy>janti</cp:lastModifiedBy>
  <dcterms:created xsi:type="dcterms:W3CDTF">2002-04-17T17:58:54Z</dcterms:created>
  <dcterms:modified xsi:type="dcterms:W3CDTF">2026-08-01T06:00:02Z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MSIP_Label_f45044c0-b6aa-4b2b-834d-65c9ef8bb134_ActionId">
    <vt:lpwstr>dfe8b876-3d0d-4640-a7aa-4b6ad214b900</vt:lpwstr>
  </property>
  <property fmtid="{D5CDD505-2E9C-101B-9397-08002B2CF9AE}" pid="5" name="MSIP_Label_f45044c0-b6aa-4b2b-834d-65c9ef8bb134_ContentBits">
    <vt:lpwstr>0</vt:lpwstr>
  </property>
  <property fmtid="{D5CDD505-2E9C-101B-9397-08002B2CF9AE}" pid="6" name="MSIP_Label_f45044c0-b6aa-4b2b-834d-65c9ef8bb134_Enabled">
    <vt:lpwstr>true</vt:lpwstr>
  </property>
  <property fmtid="{D5CDD505-2E9C-101B-9397-08002B2CF9AE}" pid="7" name="MSIP_Label_f45044c0-b6aa-4b2b-834d-65c9ef8bb134_Method">
    <vt:lpwstr>Standard</vt:lpwstr>
  </property>
  <property fmtid="{D5CDD505-2E9C-101B-9397-08002B2CF9AE}" pid="8" name="MSIP_Label_f45044c0-b6aa-4b2b-834d-65c9ef8bb134_Name">
    <vt:lpwstr>f45044c0-b6aa-4b2b-834d-65c9ef8bb134</vt:lpwstr>
  </property>
  <property fmtid="{D5CDD505-2E9C-101B-9397-08002B2CF9AE}" pid="9" name="MSIP_Label_f45044c0-b6aa-4b2b-834d-65c9ef8bb134_SetDate">
    <vt:lpwstr>2021-01-21T11:51:15Z</vt:lpwstr>
  </property>
  <property fmtid="{D5CDD505-2E9C-101B-9397-08002B2CF9AE}" pid="10" name="MSIP_Label_f45044c0-b6aa-4b2b-834d-65c9ef8bb134_SiteId">
    <vt:lpwstr>62a9c2c8-8b09-43be-a7fb-9a87875714a9</vt:lpwstr>
  </property>
  <property fmtid="{D5CDD505-2E9C-101B-9397-08002B2CF9AE}" pid="11" name="ScaleCrop">
    <vt:bool>false</vt:bool>
  </property>
  <property fmtid="{D5CDD505-2E9C-101B-9397-08002B2CF9AE}" pid="12" name="ShareDoc">
    <vt:bool>false</vt:bool>
  </property>
</Properties>
</file>